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40" yWindow="110" windowWidth="14810" windowHeight="8010"/>
  </bookViews>
  <sheets>
    <sheet name="SolarRoof" sheetId="6" r:id="rId1"/>
    <sheet name="GroundSource" sheetId="7" r:id="rId2"/>
    <sheet name="BuildingBus" sheetId="4" r:id="rId3"/>
    <sheet name="Research" sheetId="5" r:id="rId4"/>
    <sheet name="ZE House" sheetId="8" r:id="rId5"/>
    <sheet name="Export" sheetId="9" r:id="rId6"/>
    <sheet name="etc" sheetId="10" r:id="rId7"/>
  </sheets>
  <definedNames>
    <definedName name="_MailAutoSig" localSheetId="4">'ZE House'!$T$29</definedName>
    <definedName name="DChuFile">Export!$G$52</definedName>
    <definedName name="GWeinrebFile">Export!$G$50</definedName>
    <definedName name="KKimFile">Export!$G$51</definedName>
    <definedName name="PSAC_cost_usd">Export!$E$28</definedName>
    <definedName name="PSFL_cost_usd">Export!$E$29</definedName>
    <definedName name="PSHV_cost_usd">Export!$E$27</definedName>
    <definedName name="PSHV_VDC_max">Export!$S$27</definedName>
    <definedName name="PSHV_VDC_min">Export!$R$27</definedName>
    <definedName name="PSLV_cost_usd">Export!$E$26</definedName>
    <definedName name="PSLV_VDC_max">Export!$S$26</definedName>
    <definedName name="PSLV_VDC_min">Export!$R$26</definedName>
    <definedName name="TestCell123">Export!$E$62</definedName>
  </definedNames>
  <calcPr calcId="152511"/>
</workbook>
</file>

<file path=xl/calcChain.xml><?xml version="1.0" encoding="utf-8"?>
<calcChain xmlns="http://schemas.openxmlformats.org/spreadsheetml/2006/main">
  <c r="L1922" i="6" l="1"/>
  <c r="L1840" i="6"/>
  <c r="H1679" i="6" l="1"/>
  <c r="J2773" i="6" l="1"/>
  <c r="J2774" i="6" s="1"/>
  <c r="S3015" i="6"/>
  <c r="M3015" i="6"/>
  <c r="H3015" i="6"/>
  <c r="G3015" i="6"/>
  <c r="H3022" i="6"/>
  <c r="G3022" i="6"/>
  <c r="V2393" i="6" l="1"/>
  <c r="T2393" i="6"/>
  <c r="Q2393" i="6"/>
  <c r="P2393" i="6"/>
  <c r="O2393" i="6"/>
  <c r="N2393" i="6"/>
  <c r="M2393" i="6"/>
  <c r="K2393" i="6"/>
  <c r="J2393" i="6"/>
  <c r="I2393" i="6"/>
  <c r="H2393" i="6"/>
  <c r="G2393" i="6"/>
  <c r="F2393" i="6"/>
  <c r="D2393" i="6"/>
  <c r="D1836" i="6" l="1"/>
  <c r="D1834" i="6"/>
  <c r="D1832" i="6"/>
  <c r="D1831" i="6"/>
  <c r="D1829" i="6"/>
  <c r="D1827" i="6"/>
  <c r="D1822" i="6"/>
  <c r="D1820" i="6"/>
  <c r="D1817" i="6"/>
  <c r="D1814" i="6"/>
  <c r="D1812" i="6"/>
  <c r="D1811" i="6"/>
  <c r="D1807" i="6"/>
  <c r="D1806" i="6"/>
  <c r="E1795" i="6"/>
  <c r="E1791" i="6"/>
  <c r="E1790" i="6"/>
  <c r="E1788" i="6"/>
  <c r="E1786" i="6"/>
  <c r="E1785" i="6"/>
  <c r="E1782" i="6"/>
  <c r="E1765" i="6"/>
  <c r="E1763" i="6"/>
  <c r="E1762" i="6"/>
  <c r="E1761" i="6"/>
  <c r="E1760" i="6"/>
  <c r="D1745" i="6"/>
  <c r="E1738" i="6"/>
  <c r="E1733" i="6"/>
  <c r="E1750" i="6"/>
  <c r="E1749" i="6"/>
  <c r="K1728" i="6"/>
  <c r="N260" i="6" l="1"/>
  <c r="P260" i="6" s="1"/>
  <c r="N259" i="6"/>
  <c r="S260" i="6"/>
  <c r="R260" i="6"/>
  <c r="S259" i="6"/>
  <c r="R259" i="6"/>
  <c r="AA259" i="6" l="1"/>
  <c r="Z260" i="6"/>
  <c r="AA260" i="6"/>
  <c r="P259" i="6"/>
  <c r="W259" i="6" s="1"/>
  <c r="X259" i="6" s="1"/>
  <c r="Z259" i="6"/>
  <c r="W260" i="6"/>
  <c r="X260" i="6" s="1"/>
  <c r="H27" i="4"/>
  <c r="H26" i="4"/>
  <c r="H16" i="4"/>
  <c r="H70" i="4"/>
  <c r="H49" i="4"/>
  <c r="Q205" i="4"/>
  <c r="Q201" i="4"/>
  <c r="Q197" i="4" s="1"/>
  <c r="Q196" i="4"/>
  <c r="Q193" i="4"/>
  <c r="Q191" i="4"/>
  <c r="Q181" i="4"/>
  <c r="Q180" i="4"/>
  <c r="Q176" i="4"/>
  <c r="Q177" i="4" s="1"/>
  <c r="Q174" i="4"/>
  <c r="P205" i="4"/>
  <c r="P201" i="4"/>
  <c r="P197" i="4" s="1"/>
  <c r="P196" i="4"/>
  <c r="P193" i="4"/>
  <c r="P191" i="4"/>
  <c r="P181" i="4"/>
  <c r="P180" i="4"/>
  <c r="P176" i="4"/>
  <c r="P177" i="4" s="1"/>
  <c r="P174" i="4"/>
  <c r="G31" i="4"/>
  <c r="H29" i="4"/>
  <c r="H30" i="4" s="1"/>
  <c r="H32" i="4" s="1"/>
  <c r="G36" i="4"/>
  <c r="G37" i="4" s="1"/>
  <c r="G40" i="4" s="1"/>
  <c r="H18" i="4" l="1"/>
  <c r="H20" i="4"/>
  <c r="G45" i="4"/>
  <c r="G46" i="4" s="1"/>
  <c r="Q198" i="4"/>
  <c r="P198" i="4"/>
  <c r="H65" i="4"/>
  <c r="S3012" i="6"/>
  <c r="I3012" i="6"/>
  <c r="H3012" i="6"/>
  <c r="G3012" i="6"/>
  <c r="AG3446" i="6"/>
  <c r="N3446" i="6"/>
  <c r="I3446" i="6"/>
  <c r="M3012" i="6" s="1"/>
  <c r="O3446" i="6"/>
  <c r="P3446" i="6" s="1"/>
  <c r="Q3446" i="6" s="1"/>
  <c r="D3446" i="6"/>
  <c r="S3013" i="6"/>
  <c r="M3013" i="6"/>
  <c r="L1909" i="6"/>
  <c r="X1786" i="6"/>
  <c r="X1783" i="6"/>
  <c r="G3587" i="6"/>
  <c r="J3580" i="6"/>
  <c r="Q3587" i="6" s="1"/>
  <c r="L1902" i="6"/>
  <c r="L1900" i="6"/>
  <c r="L1899" i="6"/>
  <c r="L1898" i="6"/>
  <c r="S3580" i="6"/>
  <c r="Q3580" i="6"/>
  <c r="M3587" i="6" s="1"/>
  <c r="R3601" i="6"/>
  <c r="R3598" i="6"/>
  <c r="L3575" i="6"/>
  <c r="X1779" i="6"/>
  <c r="W3446" i="6" l="1"/>
  <c r="AH3446" i="6"/>
  <c r="H22" i="4"/>
  <c r="H23" i="4" s="1"/>
  <c r="H36" i="4"/>
  <c r="H40" i="4"/>
  <c r="H37" i="4"/>
  <c r="H66" i="4"/>
  <c r="H71" i="4"/>
  <c r="H72" i="4" s="1"/>
  <c r="H46" i="4"/>
  <c r="H45" i="4"/>
  <c r="AI3446" i="6" l="1"/>
  <c r="N3012" i="6" s="1"/>
  <c r="V3446" i="6"/>
  <c r="J3012" i="6"/>
  <c r="K22" i="4"/>
  <c r="H73" i="4"/>
  <c r="H47" i="4"/>
  <c r="H51" i="4" s="1"/>
  <c r="H52" i="4"/>
  <c r="X2904" i="6"/>
  <c r="X2908" i="6" s="1"/>
  <c r="W2908" i="6"/>
  <c r="Q2908" i="6"/>
  <c r="Q2912" i="6" s="1"/>
  <c r="V2913" i="6"/>
  <c r="V2912" i="6"/>
  <c r="V2909" i="6"/>
  <c r="V2908" i="6"/>
  <c r="O2909" i="6"/>
  <c r="O2908" i="6"/>
  <c r="O2913" i="6"/>
  <c r="O2912" i="6"/>
  <c r="M2906" i="6"/>
  <c r="M2914" i="6" s="1"/>
  <c r="P2913" i="6"/>
  <c r="P2912" i="6"/>
  <c r="P2909" i="6"/>
  <c r="P2908" i="6"/>
  <c r="N2912" i="6"/>
  <c r="M2912" i="6"/>
  <c r="W2909" i="6"/>
  <c r="W2912" i="6"/>
  <c r="U2912" i="6"/>
  <c r="T2912" i="6"/>
  <c r="S2912" i="6"/>
  <c r="W2913" i="6"/>
  <c r="U2913" i="6"/>
  <c r="N2913" i="6"/>
  <c r="B2913" i="6"/>
  <c r="H3193" i="6"/>
  <c r="H3192" i="6"/>
  <c r="I3191" i="6"/>
  <c r="I3192" i="6" s="1"/>
  <c r="I3193" i="6" s="1"/>
  <c r="J3193" i="6" s="1"/>
  <c r="K3193" i="6" s="1"/>
  <c r="H3191" i="6"/>
  <c r="E3191" i="6"/>
  <c r="S3191" i="6" s="1"/>
  <c r="D3191" i="6"/>
  <c r="J3446" i="6" l="1"/>
  <c r="AJ3446" i="6"/>
  <c r="AK3446" i="6" s="1"/>
  <c r="X2912" i="6"/>
  <c r="J3192" i="6"/>
  <c r="K3192" i="6" s="1"/>
  <c r="R3191" i="6"/>
  <c r="J3191" i="6"/>
  <c r="K3191" i="6" s="1"/>
  <c r="L3191" i="6" s="1"/>
  <c r="V1954" i="6"/>
  <c r="S3000" i="6" l="1"/>
  <c r="X1829" i="6" l="1"/>
  <c r="L1839" i="6"/>
  <c r="S2905" i="6"/>
  <c r="C2910" i="6"/>
  <c r="N2909" i="6"/>
  <c r="N2908" i="6"/>
  <c r="M2908" i="6"/>
  <c r="U2908" i="6"/>
  <c r="T2908" i="6"/>
  <c r="S2908" i="6"/>
  <c r="U2909" i="6"/>
  <c r="B2909" i="6"/>
  <c r="G3468" i="6" s="1"/>
  <c r="B2905" i="6"/>
  <c r="G3467" i="6" s="1"/>
  <c r="T2905" i="6"/>
  <c r="M2910" i="6"/>
  <c r="M2905" i="6"/>
  <c r="S2909" i="6" l="1"/>
  <c r="S2913" i="6"/>
  <c r="M2909" i="6"/>
  <c r="M2913" i="6"/>
  <c r="T2909" i="6"/>
  <c r="T2913" i="6"/>
  <c r="Q462" i="8"/>
  <c r="R462" i="8" s="1"/>
  <c r="L2513" i="6" l="1"/>
  <c r="P2513" i="6" s="1"/>
  <c r="T9" i="6"/>
  <c r="L1903" i="6"/>
  <c r="L1901" i="6"/>
  <c r="L2514" i="6"/>
  <c r="N2514" i="6" s="1"/>
  <c r="N1299" i="6"/>
  <c r="M1299" i="6"/>
  <c r="L1299" i="6"/>
  <c r="N1298" i="6"/>
  <c r="M1298" i="6"/>
  <c r="L1298" i="6"/>
  <c r="V1949" i="6"/>
  <c r="V1948" i="6"/>
  <c r="V1946" i="6"/>
  <c r="V1945" i="6"/>
  <c r="N1297" i="6"/>
  <c r="M1297" i="6"/>
  <c r="L1297" i="6"/>
  <c r="L1296" i="6"/>
  <c r="L1295" i="6"/>
  <c r="M1296" i="6"/>
  <c r="M1295" i="6"/>
  <c r="N1296" i="6"/>
  <c r="N1295" i="6"/>
  <c r="L1926" i="6"/>
  <c r="L1887" i="6"/>
  <c r="X1817" i="6"/>
  <c r="N2513" i="6" l="1"/>
  <c r="P2514" i="6"/>
  <c r="X1788" i="6"/>
  <c r="X1780" i="6"/>
  <c r="X1768" i="6" l="1"/>
  <c r="Q1730" i="6"/>
  <c r="Q1759" i="6"/>
  <c r="Q1815" i="6"/>
  <c r="Q1837" i="6" l="1"/>
  <c r="Q1936" i="6" l="1"/>
  <c r="Q1958" i="6"/>
  <c r="Q1868" i="6"/>
  <c r="L1895" i="6" l="1"/>
  <c r="L1894" i="6"/>
  <c r="L1893" i="6"/>
  <c r="L1892" i="6"/>
  <c r="L1891" i="6"/>
  <c r="L1890" i="6"/>
  <c r="L1889" i="6"/>
  <c r="L1888" i="6"/>
  <c r="L1886" i="6"/>
  <c r="L1885" i="6"/>
  <c r="L1884" i="6"/>
  <c r="L1883" i="6"/>
  <c r="L1882" i="6"/>
  <c r="L1881" i="6"/>
  <c r="L1880" i="6"/>
  <c r="L1879" i="6"/>
  <c r="L1878" i="6"/>
  <c r="L1877" i="6"/>
  <c r="L1876" i="6"/>
  <c r="L1875" i="6"/>
  <c r="L1874" i="6"/>
  <c r="L1873" i="6"/>
  <c r="L1872" i="6"/>
  <c r="L1871" i="6"/>
  <c r="L1870" i="6"/>
  <c r="L1869" i="6"/>
  <c r="L1929" i="6"/>
  <c r="L1928" i="6"/>
  <c r="L1927" i="6"/>
  <c r="L1925" i="6"/>
  <c r="L1924" i="6"/>
  <c r="L1923" i="6"/>
  <c r="L1921" i="6"/>
  <c r="L1920" i="6"/>
  <c r="L1919" i="6"/>
  <c r="L1918" i="6"/>
  <c r="L1917" i="6"/>
  <c r="L1915" i="6"/>
  <c r="L1914" i="6"/>
  <c r="L1913" i="6"/>
  <c r="L1956" i="6"/>
  <c r="X1809" i="6" l="1"/>
  <c r="D1520" i="6"/>
  <c r="I1756" i="6" l="1"/>
  <c r="I1755" i="6"/>
  <c r="R1754" i="6"/>
  <c r="H1747" i="6"/>
  <c r="J3103" i="6"/>
  <c r="D2465" i="6"/>
  <c r="X1745" i="6"/>
  <c r="D1720" i="6"/>
  <c r="H1743" i="6"/>
  <c r="D1718" i="6"/>
  <c r="H1740" i="6"/>
  <c r="H1757" i="6"/>
  <c r="D1716" i="6"/>
  <c r="D1715" i="6"/>
  <c r="D2133" i="6"/>
  <c r="S2986" i="6"/>
  <c r="S2985" i="6"/>
  <c r="S2984" i="6"/>
  <c r="S2983" i="6"/>
  <c r="S2982" i="6"/>
  <c r="S3019" i="6"/>
  <c r="S3018" i="6"/>
  <c r="S3022" i="6" s="1"/>
  <c r="S3014" i="6"/>
  <c r="S3010" i="6"/>
  <c r="S3009" i="6"/>
  <c r="S3005" i="6"/>
  <c r="S3007" i="6"/>
  <c r="S3006" i="6"/>
  <c r="S3003" i="6"/>
  <c r="S3004" i="6"/>
  <c r="S2999" i="6"/>
  <c r="S2996" i="6"/>
  <c r="T26" i="6" l="1"/>
  <c r="T28" i="6"/>
  <c r="T25" i="6"/>
  <c r="T27" i="6"/>
  <c r="T24" i="6"/>
  <c r="T23" i="6"/>
  <c r="T22" i="6"/>
  <c r="T21" i="6"/>
  <c r="T20" i="6"/>
  <c r="T19" i="6"/>
  <c r="T18" i="6"/>
  <c r="T17" i="6"/>
  <c r="T16" i="6"/>
  <c r="T15" i="6"/>
  <c r="T14" i="6"/>
  <c r="T13" i="6"/>
  <c r="T12" i="6"/>
  <c r="T11" i="6"/>
  <c r="T10" i="6"/>
  <c r="T8" i="6"/>
  <c r="T7" i="6"/>
  <c r="T6" i="6"/>
  <c r="T5" i="6"/>
  <c r="T4" i="6"/>
  <c r="T3" i="6"/>
  <c r="K28" i="6"/>
  <c r="K27" i="6"/>
  <c r="K26" i="6"/>
  <c r="K25" i="6"/>
  <c r="K24" i="6"/>
  <c r="K23" i="6"/>
  <c r="K22" i="6"/>
  <c r="K21" i="6"/>
  <c r="K20" i="6"/>
  <c r="K19" i="6"/>
  <c r="K18" i="6"/>
  <c r="K17" i="6"/>
  <c r="K16" i="6"/>
  <c r="K15" i="6"/>
  <c r="K14" i="6"/>
  <c r="K13" i="6"/>
  <c r="K12" i="6"/>
  <c r="K11" i="6"/>
  <c r="K10" i="6"/>
  <c r="K9" i="6"/>
  <c r="K8" i="6"/>
  <c r="K7" i="6"/>
  <c r="K6" i="6"/>
  <c r="K5" i="6"/>
  <c r="K4" i="6"/>
  <c r="K3" i="6"/>
  <c r="B28" i="6"/>
  <c r="B27" i="6"/>
  <c r="B26" i="6"/>
  <c r="B25" i="6"/>
  <c r="B24" i="6"/>
  <c r="B23" i="6"/>
  <c r="B22" i="6"/>
  <c r="B21" i="6"/>
  <c r="B20" i="6"/>
  <c r="B19" i="6"/>
  <c r="B18" i="6"/>
  <c r="B17" i="6"/>
  <c r="B16" i="6"/>
  <c r="B15" i="6"/>
  <c r="B14" i="6"/>
  <c r="B13" i="6"/>
  <c r="B12" i="6"/>
  <c r="B11" i="6"/>
  <c r="B10" i="6"/>
  <c r="B9" i="6"/>
  <c r="B8" i="6"/>
  <c r="B7" i="6"/>
  <c r="B6" i="6"/>
  <c r="B5" i="6"/>
  <c r="B4" i="6"/>
  <c r="B3" i="6"/>
  <c r="I2545" i="6" l="1"/>
  <c r="I2544" i="6"/>
  <c r="AG3443" i="6"/>
  <c r="H3028" i="6"/>
  <c r="G3028" i="6"/>
  <c r="H3027" i="6"/>
  <c r="G3027" i="6"/>
  <c r="H3025" i="6"/>
  <c r="G3025" i="6"/>
  <c r="H3024" i="6"/>
  <c r="G3024" i="6"/>
  <c r="N3444" i="6"/>
  <c r="AG3444" i="6"/>
  <c r="O3444" i="6"/>
  <c r="I3444" i="6"/>
  <c r="D3444" i="6"/>
  <c r="N3443" i="6"/>
  <c r="O3443" i="6"/>
  <c r="I3443" i="6"/>
  <c r="D3443" i="6"/>
  <c r="AG3442" i="6"/>
  <c r="O3442" i="6"/>
  <c r="N3442" i="6"/>
  <c r="I3024" i="6" s="1"/>
  <c r="I3442" i="6"/>
  <c r="M3024" i="6" s="1"/>
  <c r="D3442" i="6"/>
  <c r="K3019" i="6"/>
  <c r="H3019" i="6"/>
  <c r="G3019" i="6"/>
  <c r="K3018" i="6"/>
  <c r="H3018" i="6"/>
  <c r="G3018" i="6"/>
  <c r="O3461" i="6"/>
  <c r="P3461" i="6" s="1"/>
  <c r="Q3461" i="6" s="1"/>
  <c r="O3457" i="6"/>
  <c r="O3455" i="6"/>
  <c r="P3455" i="6" s="1"/>
  <c r="Q3455" i="6" s="1"/>
  <c r="O3454" i="6"/>
  <c r="P3454" i="6" s="1"/>
  <c r="Q3454" i="6" s="1"/>
  <c r="O3452" i="6"/>
  <c r="P3452" i="6" s="1"/>
  <c r="Q3452" i="6" s="1"/>
  <c r="O3451" i="6"/>
  <c r="P3451" i="6" s="1"/>
  <c r="Q3451" i="6" s="1"/>
  <c r="O3449" i="6"/>
  <c r="O3448" i="6"/>
  <c r="O3447" i="6"/>
  <c r="O3440" i="6"/>
  <c r="O3439" i="6"/>
  <c r="O3437" i="6"/>
  <c r="AG3440" i="6"/>
  <c r="I3440" i="6"/>
  <c r="M3018" i="6" s="1"/>
  <c r="D3440" i="6"/>
  <c r="M2536" i="6"/>
  <c r="M3028" i="6" l="1"/>
  <c r="M3022" i="6"/>
  <c r="I3028" i="6"/>
  <c r="I3022" i="6"/>
  <c r="AH3443" i="6"/>
  <c r="AH3444" i="6"/>
  <c r="W3443" i="6"/>
  <c r="I3025" i="6"/>
  <c r="I3027" i="6"/>
  <c r="M3025" i="6"/>
  <c r="M3027" i="6"/>
  <c r="P3444" i="6"/>
  <c r="Q3444" i="6" s="1"/>
  <c r="W3444" i="6"/>
  <c r="AH3440" i="6"/>
  <c r="P3443" i="6"/>
  <c r="Q3443" i="6" s="1"/>
  <c r="M3019" i="6"/>
  <c r="P3442" i="6"/>
  <c r="Q3442" i="6" s="1"/>
  <c r="W3442" i="6"/>
  <c r="P3437" i="6"/>
  <c r="Q3437" i="6" s="1"/>
  <c r="AH3442" i="6"/>
  <c r="N3459" i="6"/>
  <c r="N3458" i="6"/>
  <c r="I3015" i="6" s="1"/>
  <c r="N3457" i="6"/>
  <c r="P3457" i="6" s="1"/>
  <c r="Q3457" i="6" s="1"/>
  <c r="M3556" i="6"/>
  <c r="L3556" i="6"/>
  <c r="M3557" i="6"/>
  <c r="L3557" i="6"/>
  <c r="M3555" i="6"/>
  <c r="L3555" i="6"/>
  <c r="M3554" i="6"/>
  <c r="L3554" i="6"/>
  <c r="M3553" i="6"/>
  <c r="L3553" i="6"/>
  <c r="M3552" i="6"/>
  <c r="L3552" i="6"/>
  <c r="V3443" i="6" l="1"/>
  <c r="J3022" i="6"/>
  <c r="AI3444" i="6"/>
  <c r="J3027" i="6"/>
  <c r="J3025" i="6"/>
  <c r="AI3443" i="6"/>
  <c r="J3028" i="6"/>
  <c r="V3442" i="6"/>
  <c r="J3024" i="6"/>
  <c r="V3444" i="6"/>
  <c r="AI3442" i="6"/>
  <c r="N3024" i="6" s="1"/>
  <c r="N3555" i="6"/>
  <c r="N3554" i="6"/>
  <c r="N3553" i="6"/>
  <c r="N3552" i="6"/>
  <c r="N3556" i="6"/>
  <c r="N3557" i="6"/>
  <c r="N3028" i="6" l="1"/>
  <c r="N3022" i="6"/>
  <c r="J3444" i="6"/>
  <c r="AJ3443" i="6"/>
  <c r="AK3443" i="6" s="1"/>
  <c r="AJ3444" i="6"/>
  <c r="AK3444" i="6" s="1"/>
  <c r="J3443" i="6"/>
  <c r="N3025" i="6"/>
  <c r="N3027" i="6"/>
  <c r="J3442" i="6"/>
  <c r="AJ3442" i="6"/>
  <c r="AK3442" i="6" s="1"/>
  <c r="I3000" i="6"/>
  <c r="H3000" i="6"/>
  <c r="G3000" i="6"/>
  <c r="I3461" i="6"/>
  <c r="M3000" i="6" s="1"/>
  <c r="D3461" i="6"/>
  <c r="W3461" i="6" s="1"/>
  <c r="V3461" i="6" s="1"/>
  <c r="H2999" i="6"/>
  <c r="G2999" i="6"/>
  <c r="I2999" i="6"/>
  <c r="AG3457" i="6"/>
  <c r="AG3459" i="6" s="1"/>
  <c r="I3457" i="6"/>
  <c r="I3458" i="6" s="1"/>
  <c r="G3459" i="6"/>
  <c r="F3459" i="6"/>
  <c r="D3459" i="6"/>
  <c r="G3458" i="6"/>
  <c r="F3458" i="6"/>
  <c r="D3458" i="6"/>
  <c r="D3457" i="6"/>
  <c r="X1738" i="6"/>
  <c r="L1738" i="6"/>
  <c r="X1737" i="6"/>
  <c r="L1905" i="6"/>
  <c r="M2999" i="6" l="1"/>
  <c r="O3459" i="6"/>
  <c r="P3459" i="6" s="1"/>
  <c r="Q3459" i="6" s="1"/>
  <c r="O3458" i="6"/>
  <c r="P3458" i="6" s="1"/>
  <c r="Q3458" i="6" s="1"/>
  <c r="W3459" i="6"/>
  <c r="V3459" i="6" s="1"/>
  <c r="AH3459" i="6"/>
  <c r="J3000" i="6"/>
  <c r="AH3461" i="6"/>
  <c r="AI3461" i="6" s="1"/>
  <c r="N3000" i="6" s="1"/>
  <c r="AG3458" i="6"/>
  <c r="AH3458" i="6" s="1"/>
  <c r="AH3457" i="6"/>
  <c r="I3459" i="6"/>
  <c r="W3458" i="6"/>
  <c r="J3015" i="6" s="1"/>
  <c r="W3457" i="6"/>
  <c r="V3457" i="6" s="1"/>
  <c r="X1765" i="6"/>
  <c r="X1820" i="6"/>
  <c r="X1812" i="6"/>
  <c r="X1811" i="6"/>
  <c r="L1931" i="6"/>
  <c r="X1836" i="6"/>
  <c r="X1834" i="6"/>
  <c r="X1824" i="6"/>
  <c r="AI3459" i="6" l="1"/>
  <c r="AJ3459" i="6" s="1"/>
  <c r="AK3459" i="6" s="1"/>
  <c r="J3461" i="6"/>
  <c r="AJ3461" i="6"/>
  <c r="AK3461" i="6" s="1"/>
  <c r="V3458" i="6"/>
  <c r="J2999" i="6"/>
  <c r="AI3458" i="6"/>
  <c r="AI3457" i="6"/>
  <c r="X1782" i="6"/>
  <c r="J3459" i="6" l="1"/>
  <c r="AJ3458" i="6"/>
  <c r="AK3458" i="6" s="1"/>
  <c r="N2999" i="6"/>
  <c r="J3458" i="6"/>
  <c r="AJ3457" i="6"/>
  <c r="AK3457" i="6" s="1"/>
  <c r="J3457" i="6"/>
  <c r="X1808" i="6"/>
  <c r="X1814" i="6"/>
  <c r="X1807" i="6"/>
  <c r="X1806" i="6"/>
  <c r="X1865" i="6"/>
  <c r="X1860" i="6"/>
  <c r="L1932" i="6"/>
  <c r="L1933" i="6"/>
  <c r="L1934" i="6"/>
  <c r="L1907" i="6"/>
  <c r="L1846" i="6"/>
  <c r="L1845" i="6"/>
  <c r="X1832" i="6"/>
  <c r="X1828" i="6"/>
  <c r="X1819" i="6"/>
  <c r="H1655" i="6"/>
  <c r="X1804" i="6"/>
  <c r="X1790" i="6" l="1"/>
  <c r="X1911" i="6"/>
  <c r="R1258" i="6"/>
  <c r="S1258" i="6" s="1"/>
  <c r="X1770" i="6"/>
  <c r="K3442" i="6" l="1"/>
  <c r="K3447" i="6"/>
  <c r="X1774" i="6"/>
  <c r="I3702" i="6"/>
  <c r="X1827" i="6"/>
  <c r="X1777" i="6"/>
  <c r="X1816" i="6"/>
  <c r="X1861" i="6" l="1"/>
  <c r="X1862" i="6"/>
  <c r="X1850" i="6"/>
  <c r="X1764" i="6"/>
  <c r="M2352" i="6" l="1"/>
  <c r="L2352" i="6"/>
  <c r="L1948" i="6" l="1"/>
  <c r="L1946" i="6"/>
  <c r="L1945" i="6"/>
  <c r="L1949" i="6"/>
  <c r="L1843" i="6" l="1"/>
  <c r="L1842" i="6"/>
  <c r="X1867" i="6"/>
  <c r="L1849" i="6"/>
  <c r="X1863" i="6"/>
  <c r="D2334" i="6"/>
  <c r="G2335" i="6"/>
  <c r="G2334" i="6"/>
  <c r="G2333" i="6"/>
  <c r="D2335" i="6" l="1"/>
  <c r="H2335" i="6" s="1"/>
  <c r="H2333" i="6"/>
  <c r="H2334" i="6"/>
  <c r="AA1352" i="6"/>
  <c r="X1352" i="6"/>
  <c r="Y1352" i="6" s="1"/>
  <c r="Z1352" i="6" s="1"/>
  <c r="W1352" i="6"/>
  <c r="V1352" i="6"/>
  <c r="U1352" i="6"/>
  <c r="X1866" i="6"/>
  <c r="X1864" i="6"/>
  <c r="L1852" i="6"/>
  <c r="L1838" i="6"/>
  <c r="L1853" i="6"/>
  <c r="X1853" i="6"/>
  <c r="L1847" i="6"/>
  <c r="X1869" i="6"/>
  <c r="X1917" i="6"/>
  <c r="X1855" i="6"/>
  <c r="L1857" i="6"/>
  <c r="L1856" i="6"/>
  <c r="X1854" i="6"/>
  <c r="X1858" i="6"/>
  <c r="X1857" i="6"/>
  <c r="X1856" i="6"/>
  <c r="X1799" i="6"/>
  <c r="X1794" i="6"/>
  <c r="X1798" i="6"/>
  <c r="X1793" i="6"/>
  <c r="X1787" i="6"/>
  <c r="X1762" i="6"/>
  <c r="X1761" i="6"/>
  <c r="X1760" i="6"/>
  <c r="X1822" i="6"/>
  <c r="H1643" i="6"/>
  <c r="X1763" i="6"/>
  <c r="X1785" i="6"/>
  <c r="G2994" i="6"/>
  <c r="P2994" i="6" s="1"/>
  <c r="M3014" i="6"/>
  <c r="I3007" i="6"/>
  <c r="H3007" i="6"/>
  <c r="G3007" i="6"/>
  <c r="I3006" i="6"/>
  <c r="H3006" i="6"/>
  <c r="G3006" i="6"/>
  <c r="I3003" i="6"/>
  <c r="H3003" i="6"/>
  <c r="G3003" i="6"/>
  <c r="I3004" i="6"/>
  <c r="H3004" i="6"/>
  <c r="G3004" i="6"/>
  <c r="I3009" i="6"/>
  <c r="H3009" i="6"/>
  <c r="G3009" i="6"/>
  <c r="H3010" i="6"/>
  <c r="G3010" i="6"/>
  <c r="I3451" i="6"/>
  <c r="M3009" i="6" s="1"/>
  <c r="I3455" i="6"/>
  <c r="M3005" i="6" s="1"/>
  <c r="K3005" i="6"/>
  <c r="I3005" i="6"/>
  <c r="H3005" i="6"/>
  <c r="G3005" i="6"/>
  <c r="I3453" i="6"/>
  <c r="I3454" i="6"/>
  <c r="M2992" i="6" s="1"/>
  <c r="I3452" i="6"/>
  <c r="I3449" i="6"/>
  <c r="I3448" i="6"/>
  <c r="I3447" i="6"/>
  <c r="M2983" i="6" s="1"/>
  <c r="N3453" i="6"/>
  <c r="G3453" i="6"/>
  <c r="F3453" i="6"/>
  <c r="D3453" i="6"/>
  <c r="AH3453" i="6" s="1"/>
  <c r="G3450" i="6"/>
  <c r="F3450" i="6"/>
  <c r="G3013" i="6" s="1"/>
  <c r="E3495" i="6"/>
  <c r="F3495" i="6" s="1"/>
  <c r="E3496" i="6"/>
  <c r="F3496" i="6" s="1"/>
  <c r="O3516" i="6"/>
  <c r="D3524" i="6"/>
  <c r="F3514" i="6"/>
  <c r="F3519" i="6" s="1"/>
  <c r="D3514" i="6"/>
  <c r="D3474" i="6"/>
  <c r="D3475" i="6" s="1"/>
  <c r="Z3439" i="6"/>
  <c r="Z3437" i="6"/>
  <c r="H2986" i="6"/>
  <c r="G2986" i="6"/>
  <c r="H2985" i="6"/>
  <c r="G2985" i="6"/>
  <c r="H2984" i="6"/>
  <c r="G2984" i="6"/>
  <c r="H2983" i="6"/>
  <c r="G2983" i="6"/>
  <c r="H2982" i="6"/>
  <c r="G2982" i="6"/>
  <c r="AD3455" i="6"/>
  <c r="D3455" i="6"/>
  <c r="W3455" i="6" s="1"/>
  <c r="V3455" i="6" s="1"/>
  <c r="I3010" i="6"/>
  <c r="AG3452" i="6"/>
  <c r="D3452" i="6"/>
  <c r="W3452" i="6" s="1"/>
  <c r="D3451" i="6"/>
  <c r="AH3451" i="6" s="1"/>
  <c r="I2992" i="6"/>
  <c r="S3001" i="6"/>
  <c r="S2997" i="6"/>
  <c r="G2993" i="6"/>
  <c r="G3001" i="6" s="1"/>
  <c r="P3001" i="6" s="1"/>
  <c r="H2992" i="6"/>
  <c r="G2992" i="6"/>
  <c r="AG3454" i="6"/>
  <c r="D3454" i="6"/>
  <c r="H2990" i="6"/>
  <c r="G2990" i="6"/>
  <c r="Q3353" i="6"/>
  <c r="H2988" i="6"/>
  <c r="G2988" i="6"/>
  <c r="D3370" i="6"/>
  <c r="D3371" i="6" s="1"/>
  <c r="D3360" i="6"/>
  <c r="D3361" i="6" s="1"/>
  <c r="D3362" i="6" s="1"/>
  <c r="D3423" i="6"/>
  <c r="D3425" i="6" s="1"/>
  <c r="D3413" i="6"/>
  <c r="O3405" i="6" s="1"/>
  <c r="F3413" i="6"/>
  <c r="F3418" i="6" s="1"/>
  <c r="G3413" i="6"/>
  <c r="G3418" i="6" s="1"/>
  <c r="G3419" i="6" s="1"/>
  <c r="G3420" i="6" s="1"/>
  <c r="G3421" i="6" s="1"/>
  <c r="P3357" i="6"/>
  <c r="P3410" i="6"/>
  <c r="L3425" i="6"/>
  <c r="F3425" i="6"/>
  <c r="E3424" i="6"/>
  <c r="E3423" i="6"/>
  <c r="E3425" i="6" s="1"/>
  <c r="E3426" i="6" s="1"/>
  <c r="E3427" i="6" s="1"/>
  <c r="L3419" i="6"/>
  <c r="F3419" i="6"/>
  <c r="D3419" i="6"/>
  <c r="E3418" i="6"/>
  <c r="L3416" i="6"/>
  <c r="L3427" i="6" s="1"/>
  <c r="F3416" i="6"/>
  <c r="F3427" i="6" s="1"/>
  <c r="L3415" i="6"/>
  <c r="L3426" i="6" s="1"/>
  <c r="F3415" i="6"/>
  <c r="F3426" i="6" s="1"/>
  <c r="E3414" i="6"/>
  <c r="E3415" i="6" s="1"/>
  <c r="E3416" i="6" s="1"/>
  <c r="L3413" i="6"/>
  <c r="L3423" i="6" s="1"/>
  <c r="J3409" i="6"/>
  <c r="J3407" i="6"/>
  <c r="G3407" i="6"/>
  <c r="G3408" i="6" s="1"/>
  <c r="F3407" i="6"/>
  <c r="F3408" i="6" s="1"/>
  <c r="E3407" i="6"/>
  <c r="E3408" i="6" s="1"/>
  <c r="R3406" i="6"/>
  <c r="R3410" i="6" s="1"/>
  <c r="R3353" i="6"/>
  <c r="R3357" i="6" s="1"/>
  <c r="D3377" i="6"/>
  <c r="G3360" i="6"/>
  <c r="H3377" i="6"/>
  <c r="I3377" i="6" s="1"/>
  <c r="L3363" i="6"/>
  <c r="L3374" i="6" s="1"/>
  <c r="L3362" i="6"/>
  <c r="L3367" i="6" s="1"/>
  <c r="L3360" i="6"/>
  <c r="L3370" i="6" s="1"/>
  <c r="F3363" i="6"/>
  <c r="F3374" i="6" s="1"/>
  <c r="F3362" i="6"/>
  <c r="F3367" i="6" s="1"/>
  <c r="F3371" i="6" s="1"/>
  <c r="F3360" i="6"/>
  <c r="F3365" i="6" s="1"/>
  <c r="G3354" i="6"/>
  <c r="G3355" i="6" s="1"/>
  <c r="F3354" i="6"/>
  <c r="F3355" i="6" s="1"/>
  <c r="L3372" i="6"/>
  <c r="F3372" i="6"/>
  <c r="E3371" i="6"/>
  <c r="E3370" i="6"/>
  <c r="E3372" i="6" s="1"/>
  <c r="L3366" i="6"/>
  <c r="F3366" i="6"/>
  <c r="D3366" i="6"/>
  <c r="D3367" i="6" s="1"/>
  <c r="E3365" i="6"/>
  <c r="E3366" i="6" s="1"/>
  <c r="E3367" i="6" s="1"/>
  <c r="E3368" i="6" s="1"/>
  <c r="E3361" i="6"/>
  <c r="E3362" i="6" s="1"/>
  <c r="E3363" i="6" s="1"/>
  <c r="J3356" i="6"/>
  <c r="J3354" i="6"/>
  <c r="E3354" i="6"/>
  <c r="E3355" i="6" s="1"/>
  <c r="W3437" i="6"/>
  <c r="V3437" i="6" s="1"/>
  <c r="AH3437" i="6"/>
  <c r="N3439" i="6"/>
  <c r="AG3439" i="6"/>
  <c r="AH3439" i="6" s="1"/>
  <c r="D3447" i="6"/>
  <c r="N3447" i="6"/>
  <c r="P3447" i="6" s="1"/>
  <c r="Q3447" i="6" s="1"/>
  <c r="AG3447" i="6"/>
  <c r="D3448" i="6"/>
  <c r="AG3448" i="6"/>
  <c r="D3449" i="6"/>
  <c r="N3449" i="6"/>
  <c r="P3449" i="6" s="1"/>
  <c r="Q3449" i="6" s="1"/>
  <c r="AG3449" i="6"/>
  <c r="D3450" i="6"/>
  <c r="AH3450" i="6" s="1"/>
  <c r="F3479" i="6"/>
  <c r="H3479" i="6" s="1"/>
  <c r="J3498" i="6"/>
  <c r="K3498" i="6" s="1"/>
  <c r="J3497" i="6"/>
  <c r="K3497" i="6" s="1"/>
  <c r="J3496" i="6"/>
  <c r="K3496" i="6" s="1"/>
  <c r="J3495" i="6"/>
  <c r="K3495" i="6" s="1"/>
  <c r="H3013" i="6" l="1"/>
  <c r="Z3444" i="6"/>
  <c r="Z3446" i="6"/>
  <c r="K3444" i="6"/>
  <c r="K3443" i="6"/>
  <c r="K3449" i="6"/>
  <c r="Z3443" i="6"/>
  <c r="Z3440" i="6"/>
  <c r="Z3442" i="6"/>
  <c r="O3450" i="6"/>
  <c r="N3440" i="6"/>
  <c r="P3439" i="6"/>
  <c r="Q3439" i="6" s="1"/>
  <c r="O3453" i="6"/>
  <c r="P3453" i="6" s="1"/>
  <c r="Q3453" i="6" s="1"/>
  <c r="Z3451" i="6"/>
  <c r="Z3458" i="6"/>
  <c r="Z3459" i="6"/>
  <c r="Z3457" i="6"/>
  <c r="Z3461" i="6"/>
  <c r="M3003" i="6"/>
  <c r="Z3449" i="6"/>
  <c r="D3476" i="6"/>
  <c r="G3014" i="6"/>
  <c r="M2985" i="6"/>
  <c r="F3517" i="6"/>
  <c r="M2982" i="6"/>
  <c r="M2984" i="6"/>
  <c r="M3010" i="6"/>
  <c r="D3372" i="6"/>
  <c r="D3373" i="6" s="1"/>
  <c r="D3374" i="6" s="1"/>
  <c r="M2986" i="6"/>
  <c r="AH3452" i="6"/>
  <c r="AI3452" i="6" s="1"/>
  <c r="J3452" i="6" s="1"/>
  <c r="V3452" i="6"/>
  <c r="J3004" i="6"/>
  <c r="J3003" i="6"/>
  <c r="J3006" i="6"/>
  <c r="J3007" i="6"/>
  <c r="Z3454" i="6"/>
  <c r="Z3455" i="6"/>
  <c r="AA3455" i="6" s="1"/>
  <c r="Z3453" i="6"/>
  <c r="Z3450" i="6"/>
  <c r="I2984" i="6"/>
  <c r="I2986" i="6"/>
  <c r="M3004" i="6"/>
  <c r="M3007" i="6"/>
  <c r="Z3448" i="6"/>
  <c r="Z3452" i="6"/>
  <c r="I2982" i="6"/>
  <c r="M3006" i="6"/>
  <c r="Z3447" i="6"/>
  <c r="F3516" i="6"/>
  <c r="W3453" i="6"/>
  <c r="V3453" i="6" s="1"/>
  <c r="G2997" i="6"/>
  <c r="P2997" i="6" s="1"/>
  <c r="I2983" i="6"/>
  <c r="I2985" i="6"/>
  <c r="N3450" i="6"/>
  <c r="H3014" i="6"/>
  <c r="AH3455" i="6"/>
  <c r="AI3455" i="6" s="1"/>
  <c r="J3455" i="6" s="1"/>
  <c r="J3005" i="6"/>
  <c r="AH3454" i="6"/>
  <c r="P2993" i="6"/>
  <c r="G2996" i="6"/>
  <c r="P2996" i="6" s="1"/>
  <c r="AH3447" i="6"/>
  <c r="W3451" i="6"/>
  <c r="W3454" i="6"/>
  <c r="O3352" i="6"/>
  <c r="O3354" i="6" s="1"/>
  <c r="O3355" i="6" s="1"/>
  <c r="D3424" i="6"/>
  <c r="D3414" i="6"/>
  <c r="D3415" i="6" s="1"/>
  <c r="D3416" i="6" s="1"/>
  <c r="M3413" i="6"/>
  <c r="D3400" i="6" s="1"/>
  <c r="J2990" i="6" s="1"/>
  <c r="L3418" i="6"/>
  <c r="O3407" i="6"/>
  <c r="O3408" i="6" s="1"/>
  <c r="G3414" i="6"/>
  <c r="G3415" i="6" s="1"/>
  <c r="G3416" i="6" s="1"/>
  <c r="H3413" i="6"/>
  <c r="J3413" i="6" s="1"/>
  <c r="H3418" i="6"/>
  <c r="J3418" i="6" s="1"/>
  <c r="F3421" i="6"/>
  <c r="F3423" i="6"/>
  <c r="G3423" i="6"/>
  <c r="E3419" i="6"/>
  <c r="E3420" i="6" s="1"/>
  <c r="E3421" i="6" s="1"/>
  <c r="L3420" i="6"/>
  <c r="D3420" i="6"/>
  <c r="D3426" i="6"/>
  <c r="L3421" i="6"/>
  <c r="F3420" i="6"/>
  <c r="F3424" i="6" s="1"/>
  <c r="L3368" i="6"/>
  <c r="M3360" i="6"/>
  <c r="M3365" i="6" s="1"/>
  <c r="M3366" i="6" s="1"/>
  <c r="M3367" i="6" s="1"/>
  <c r="M3368" i="6" s="1"/>
  <c r="AI3437" i="6"/>
  <c r="F3368" i="6"/>
  <c r="W3447" i="6"/>
  <c r="N3448" i="6"/>
  <c r="P3448" i="6" s="1"/>
  <c r="Q3448" i="6" s="1"/>
  <c r="AH3449" i="6"/>
  <c r="L3365" i="6"/>
  <c r="L3373" i="6"/>
  <c r="F3373" i="6"/>
  <c r="F3370" i="6"/>
  <c r="H3360" i="6"/>
  <c r="G3365" i="6"/>
  <c r="G3366" i="6" s="1"/>
  <c r="G3367" i="6" s="1"/>
  <c r="G3368" i="6" s="1"/>
  <c r="G3361" i="6"/>
  <c r="G3362" i="6" s="1"/>
  <c r="G3363" i="6" s="1"/>
  <c r="G3370" i="6"/>
  <c r="G3372" i="6" s="1"/>
  <c r="G3373" i="6" s="1"/>
  <c r="G3374" i="6" s="1"/>
  <c r="D3368" i="6"/>
  <c r="D3363" i="6"/>
  <c r="E3373" i="6"/>
  <c r="E3374" i="6" s="1"/>
  <c r="W3449" i="6"/>
  <c r="V3449" i="6" s="1"/>
  <c r="W3439" i="6"/>
  <c r="AH3448" i="6"/>
  <c r="Q3153" i="6"/>
  <c r="S2953" i="6"/>
  <c r="W3169" i="6"/>
  <c r="U3169" i="6"/>
  <c r="Y3169" i="6" s="1"/>
  <c r="P3169" i="6"/>
  <c r="P3167" i="6"/>
  <c r="W3168" i="6"/>
  <c r="U3168" i="6"/>
  <c r="Y3168" i="6" s="1"/>
  <c r="P3168" i="6"/>
  <c r="U3167" i="6"/>
  <c r="H3110" i="6"/>
  <c r="D3162" i="6" s="1"/>
  <c r="Q3154" i="6"/>
  <c r="H3150" i="6"/>
  <c r="H3149" i="6"/>
  <c r="H3148" i="6"/>
  <c r="W3154" i="6"/>
  <c r="T3153" i="6"/>
  <c r="U3154" i="6"/>
  <c r="X3154" i="6" s="1"/>
  <c r="U3153" i="6"/>
  <c r="P3162" i="6"/>
  <c r="P3159" i="6"/>
  <c r="P3156" i="6"/>
  <c r="T3161" i="6"/>
  <c r="W3162" i="6"/>
  <c r="W3159" i="6"/>
  <c r="U3162" i="6"/>
  <c r="Y3162" i="6" s="1"/>
  <c r="U3161" i="6"/>
  <c r="D3104" i="6"/>
  <c r="D3105" i="6" s="1"/>
  <c r="D3106" i="6" s="1"/>
  <c r="D3107" i="6" s="1"/>
  <c r="D3108" i="6" s="1"/>
  <c r="H3108" i="6"/>
  <c r="D3161" i="6" s="1"/>
  <c r="J3195" i="6"/>
  <c r="D3120" i="6"/>
  <c r="D3119" i="6"/>
  <c r="G3113" i="6"/>
  <c r="D3121" i="6"/>
  <c r="F3093" i="6"/>
  <c r="D3147" i="6"/>
  <c r="H3107" i="6"/>
  <c r="H3106" i="6"/>
  <c r="H3105" i="6"/>
  <c r="D3154" i="6" s="1"/>
  <c r="H3104" i="6"/>
  <c r="H3103" i="6"/>
  <c r="D3153" i="6" s="1"/>
  <c r="W3450" i="6" l="1"/>
  <c r="J3013" i="6" s="1"/>
  <c r="I3013" i="6"/>
  <c r="AA3440" i="6"/>
  <c r="AB3440" i="6"/>
  <c r="AE3440" i="6" s="1"/>
  <c r="T3440" i="6" s="1"/>
  <c r="I3019" i="6"/>
  <c r="W3440" i="6"/>
  <c r="I3018" i="6"/>
  <c r="P3440" i="6"/>
  <c r="Q3440" i="6" s="1"/>
  <c r="AD3440" i="6"/>
  <c r="P3450" i="6"/>
  <c r="Q3450" i="6" s="1"/>
  <c r="AB3455" i="6"/>
  <c r="AE3455" i="6" s="1"/>
  <c r="T3455" i="6" s="1"/>
  <c r="Q3005" i="6" s="1"/>
  <c r="AI3453" i="6"/>
  <c r="AJ3455" i="6"/>
  <c r="AK3455" i="6" s="1"/>
  <c r="N3005" i="6"/>
  <c r="AJ3452" i="6"/>
  <c r="AK3452" i="6" s="1"/>
  <c r="V3450" i="6"/>
  <c r="I3014" i="6"/>
  <c r="AI3451" i="6"/>
  <c r="J3009" i="6"/>
  <c r="J3010" i="6"/>
  <c r="S3455" i="6"/>
  <c r="P3005" i="6" s="1"/>
  <c r="J2984" i="6"/>
  <c r="J2985" i="6"/>
  <c r="J2986" i="6"/>
  <c r="J2983" i="6"/>
  <c r="AI3449" i="6"/>
  <c r="J2982" i="6"/>
  <c r="V3454" i="6"/>
  <c r="J2992" i="6"/>
  <c r="AJ3437" i="6"/>
  <c r="AK3437" i="6" s="1"/>
  <c r="V3451" i="6"/>
  <c r="AI3454" i="6"/>
  <c r="M3423" i="6"/>
  <c r="M3424" i="6" s="1"/>
  <c r="M3418" i="6"/>
  <c r="M3419" i="6" s="1"/>
  <c r="M3420" i="6" s="1"/>
  <c r="M3421" i="6" s="1"/>
  <c r="M3414" i="6"/>
  <c r="M3415" i="6" s="1"/>
  <c r="M3416" i="6" s="1"/>
  <c r="D3347" i="6"/>
  <c r="J2988" i="6" s="1"/>
  <c r="W3448" i="6"/>
  <c r="V3448" i="6" s="1"/>
  <c r="J3406" i="6"/>
  <c r="J3353" i="6"/>
  <c r="H3419" i="6"/>
  <c r="J3419" i="6" s="1"/>
  <c r="H3423" i="6"/>
  <c r="J3423" i="6" s="1"/>
  <c r="H3414" i="6"/>
  <c r="J3414" i="6" s="1"/>
  <c r="H3416" i="6"/>
  <c r="J3416" i="6" s="1"/>
  <c r="H3415" i="6"/>
  <c r="J3415" i="6" s="1"/>
  <c r="G3425" i="6"/>
  <c r="G3424" i="6"/>
  <c r="H3424" i="6" s="1"/>
  <c r="J3424" i="6" s="1"/>
  <c r="D3427" i="6"/>
  <c r="D3421" i="6"/>
  <c r="H3421" i="6" s="1"/>
  <c r="J3421" i="6" s="1"/>
  <c r="H3420" i="6"/>
  <c r="J3420" i="6" s="1"/>
  <c r="AI3447" i="6"/>
  <c r="J3447" i="6" s="1"/>
  <c r="V3447" i="6"/>
  <c r="M3361" i="6"/>
  <c r="M3362" i="6" s="1"/>
  <c r="M3363" i="6" s="1"/>
  <c r="M3370" i="6"/>
  <c r="M3371" i="6" s="1"/>
  <c r="H3370" i="6"/>
  <c r="J3370" i="6" s="1"/>
  <c r="G3371" i="6"/>
  <c r="H3371" i="6" s="1"/>
  <c r="J3371" i="6" s="1"/>
  <c r="AI3450" i="6"/>
  <c r="V3439" i="6"/>
  <c r="J3360" i="6"/>
  <c r="H3363" i="6"/>
  <c r="J3363" i="6" s="1"/>
  <c r="H3361" i="6"/>
  <c r="J3361" i="6" s="1"/>
  <c r="H3362" i="6"/>
  <c r="J3362" i="6" s="1"/>
  <c r="H3366" i="6"/>
  <c r="J3366" i="6" s="1"/>
  <c r="H3368" i="6"/>
  <c r="J3368" i="6" s="1"/>
  <c r="H3367" i="6"/>
  <c r="J3367" i="6" s="1"/>
  <c r="H3365" i="6"/>
  <c r="J3365" i="6" s="1"/>
  <c r="H3372" i="6"/>
  <c r="J3372" i="6" s="1"/>
  <c r="H3374" i="6"/>
  <c r="J3374" i="6" s="1"/>
  <c r="H3373" i="6"/>
  <c r="J3373" i="6" s="1"/>
  <c r="AI3439" i="6"/>
  <c r="X3153" i="6"/>
  <c r="X3169" i="6"/>
  <c r="W3167" i="6"/>
  <c r="Y3167" i="6"/>
  <c r="X3168" i="6"/>
  <c r="Y3154" i="6"/>
  <c r="X3167" i="6"/>
  <c r="D3148" i="6"/>
  <c r="Y3153" i="6"/>
  <c r="D3149" i="6"/>
  <c r="X3161" i="6"/>
  <c r="W3153" i="6"/>
  <c r="P3161" i="6"/>
  <c r="W3161" i="6"/>
  <c r="Y3161" i="6"/>
  <c r="X3162" i="6"/>
  <c r="D3109" i="6"/>
  <c r="E3108" i="6"/>
  <c r="T3158" i="6"/>
  <c r="P3158" i="6" s="1"/>
  <c r="D3159" i="6"/>
  <c r="U3159" i="6"/>
  <c r="D3158" i="6"/>
  <c r="U3158" i="6"/>
  <c r="D3156" i="6"/>
  <c r="W3156" i="6"/>
  <c r="U3156" i="6"/>
  <c r="Y3156" i="6" s="1"/>
  <c r="N3013" i="6" l="1"/>
  <c r="N3015" i="6"/>
  <c r="J3014" i="6"/>
  <c r="S3440" i="6"/>
  <c r="P3019" i="6" s="1"/>
  <c r="M3372" i="6"/>
  <c r="M3373" i="6" s="1"/>
  <c r="M3374" i="6" s="1"/>
  <c r="V3440" i="6"/>
  <c r="J3018" i="6"/>
  <c r="J3019" i="6"/>
  <c r="AI3440" i="6"/>
  <c r="Q3019" i="6"/>
  <c r="Q3018" i="6"/>
  <c r="N3006" i="6"/>
  <c r="N3003" i="6"/>
  <c r="AJ3453" i="6"/>
  <c r="AK3453" i="6" s="1"/>
  <c r="N3004" i="6"/>
  <c r="J3453" i="6"/>
  <c r="N3007" i="6"/>
  <c r="M3425" i="6"/>
  <c r="M3426" i="6" s="1"/>
  <c r="M3427" i="6" s="1"/>
  <c r="J3450" i="6"/>
  <c r="N3014" i="6"/>
  <c r="AJ3449" i="6"/>
  <c r="AK3449" i="6" s="1"/>
  <c r="J3449" i="6"/>
  <c r="J3439" i="6"/>
  <c r="N2992" i="6"/>
  <c r="J3454" i="6"/>
  <c r="AJ3451" i="6"/>
  <c r="AK3451" i="6" s="1"/>
  <c r="J3451" i="6"/>
  <c r="N3010" i="6"/>
  <c r="N3009" i="6"/>
  <c r="N2983" i="6"/>
  <c r="N2986" i="6"/>
  <c r="N2982" i="6"/>
  <c r="N2985" i="6"/>
  <c r="N2984" i="6"/>
  <c r="K3413" i="6"/>
  <c r="N3413" i="6" s="1"/>
  <c r="K2990" i="6"/>
  <c r="K3360" i="6"/>
  <c r="K3365" i="6" s="1"/>
  <c r="K2988" i="6"/>
  <c r="AJ3447" i="6"/>
  <c r="AK3447" i="6" s="1"/>
  <c r="AJ3450" i="6"/>
  <c r="AK3450" i="6" s="1"/>
  <c r="AJ3439" i="6"/>
  <c r="AK3439" i="6" s="1"/>
  <c r="AJ3454" i="6"/>
  <c r="AK3454" i="6" s="1"/>
  <c r="AI3448" i="6"/>
  <c r="J3448" i="6" s="1"/>
  <c r="G3426" i="6"/>
  <c r="H3425" i="6"/>
  <c r="J3425" i="6" s="1"/>
  <c r="P3352" i="6"/>
  <c r="Q3352" i="6" s="1"/>
  <c r="E3109" i="6"/>
  <c r="D3110" i="6"/>
  <c r="E3110" i="6" s="1"/>
  <c r="W3158" i="6"/>
  <c r="Y3159" i="6"/>
  <c r="X3159" i="6"/>
  <c r="X3156" i="6"/>
  <c r="X3158" i="6"/>
  <c r="Y3158" i="6"/>
  <c r="I3143" i="6"/>
  <c r="J3143" i="6" s="1"/>
  <c r="D3124" i="6"/>
  <c r="D3126" i="6" s="1"/>
  <c r="D3118" i="6"/>
  <c r="D3122" i="6" s="1"/>
  <c r="E3118" i="6"/>
  <c r="E3107" i="6"/>
  <c r="E3106" i="6"/>
  <c r="E3105" i="6"/>
  <c r="E3104" i="6"/>
  <c r="E3103" i="6"/>
  <c r="J3150" i="6"/>
  <c r="I3150" i="6"/>
  <c r="L3130" i="6"/>
  <c r="I3128" i="6"/>
  <c r="I3130" i="6"/>
  <c r="P3146" i="6"/>
  <c r="L3148" i="6"/>
  <c r="J3149" i="6"/>
  <c r="I3149" i="6"/>
  <c r="J3148" i="6"/>
  <c r="I3148" i="6"/>
  <c r="J3147" i="6"/>
  <c r="I3147" i="6"/>
  <c r="L3147" i="6"/>
  <c r="P3147" i="6" s="1"/>
  <c r="P3018" i="6" l="1"/>
  <c r="J3440" i="6"/>
  <c r="AJ3440" i="6"/>
  <c r="AK3440" i="6" s="1"/>
  <c r="N3019" i="6"/>
  <c r="N3018" i="6"/>
  <c r="K3370" i="6"/>
  <c r="K3372" i="6" s="1"/>
  <c r="K3373" i="6" s="1"/>
  <c r="K3374" i="6" s="1"/>
  <c r="N3374" i="6" s="1"/>
  <c r="K3361" i="6"/>
  <c r="K3362" i="6" s="1"/>
  <c r="K3363" i="6" s="1"/>
  <c r="N3363" i="6" s="1"/>
  <c r="K3423" i="6"/>
  <c r="N3423" i="6" s="1"/>
  <c r="K3414" i="6"/>
  <c r="K3415" i="6" s="1"/>
  <c r="N3415" i="6" s="1"/>
  <c r="N3360" i="6"/>
  <c r="K3418" i="6"/>
  <c r="N3418" i="6" s="1"/>
  <c r="K3366" i="6"/>
  <c r="N3365" i="6"/>
  <c r="AJ3448" i="6"/>
  <c r="AK3448" i="6" s="1"/>
  <c r="G3427" i="6"/>
  <c r="H3427" i="6" s="1"/>
  <c r="J3427" i="6" s="1"/>
  <c r="H3426" i="6"/>
  <c r="J3426" i="6" s="1"/>
  <c r="P3354" i="6"/>
  <c r="P3355" i="6" s="1"/>
  <c r="Q3354" i="6"/>
  <c r="Q3355" i="6" s="1"/>
  <c r="G3108" i="6"/>
  <c r="J3099" i="6" s="1"/>
  <c r="G3110" i="6"/>
  <c r="G3109" i="6"/>
  <c r="G3103" i="6"/>
  <c r="G3106" i="6"/>
  <c r="G3107" i="6"/>
  <c r="G3104" i="6"/>
  <c r="G3105" i="6"/>
  <c r="M3148" i="6"/>
  <c r="Q3148" i="6" s="1"/>
  <c r="N3130" i="6"/>
  <c r="M3149" i="6"/>
  <c r="Q3149" i="6" s="1"/>
  <c r="M3130" i="6"/>
  <c r="O3130" i="6" s="1"/>
  <c r="P3130" i="6" s="1"/>
  <c r="Q3130" i="6" s="1"/>
  <c r="M3147" i="6"/>
  <c r="Q3147" i="6" s="1"/>
  <c r="S3147" i="6" s="1"/>
  <c r="T3147" i="6" s="1"/>
  <c r="N3147" i="6"/>
  <c r="R3147" i="6" s="1"/>
  <c r="N3148" i="6"/>
  <c r="R3148" i="6" s="1"/>
  <c r="N3149" i="6"/>
  <c r="R3149" i="6" s="1"/>
  <c r="L3149" i="6"/>
  <c r="P3149" i="6" s="1"/>
  <c r="P3148" i="6"/>
  <c r="K3424" i="6" l="1"/>
  <c r="N3424" i="6" s="1"/>
  <c r="N3370" i="6"/>
  <c r="N3372" i="6"/>
  <c r="K3416" i="6"/>
  <c r="N3416" i="6" s="1"/>
  <c r="K3371" i="6"/>
  <c r="N3371" i="6" s="1"/>
  <c r="N3414" i="6"/>
  <c r="N3373" i="6"/>
  <c r="K3425" i="6"/>
  <c r="K3426" i="6" s="1"/>
  <c r="K3427" i="6" s="1"/>
  <c r="N3427" i="6" s="1"/>
  <c r="N3362" i="6"/>
  <c r="N3361" i="6"/>
  <c r="K3419" i="6"/>
  <c r="K3420" i="6" s="1"/>
  <c r="K3367" i="6"/>
  <c r="N3366" i="6"/>
  <c r="P3405" i="6"/>
  <c r="J3161" i="6"/>
  <c r="J3100" i="6"/>
  <c r="J3162" i="6"/>
  <c r="J3094" i="6"/>
  <c r="F3148" i="6"/>
  <c r="J3153" i="6"/>
  <c r="J3154" i="6"/>
  <c r="F3149" i="6"/>
  <c r="J3096" i="6"/>
  <c r="J3156" i="6"/>
  <c r="J3095" i="6"/>
  <c r="J3159" i="6"/>
  <c r="J3098" i="6"/>
  <c r="J3158" i="6"/>
  <c r="J3097" i="6"/>
  <c r="S3148" i="6"/>
  <c r="T3148" i="6" s="1"/>
  <c r="U3148" i="6" s="1"/>
  <c r="S3149" i="6"/>
  <c r="T3149" i="6" s="1"/>
  <c r="U3149" i="6" s="1"/>
  <c r="M2946" i="6"/>
  <c r="L2946" i="6"/>
  <c r="G1326" i="6"/>
  <c r="H2965" i="6"/>
  <c r="N2965" i="6" s="1"/>
  <c r="Q2965" i="6"/>
  <c r="I2965" i="6"/>
  <c r="O2965" i="6" s="1"/>
  <c r="G2965" i="6"/>
  <c r="M2965" i="6" s="1"/>
  <c r="O2953" i="6"/>
  <c r="N2952" i="6"/>
  <c r="O2952" i="6" s="1"/>
  <c r="V2938" i="6"/>
  <c r="N2938" i="6"/>
  <c r="I2938" i="6"/>
  <c r="G2938" i="6"/>
  <c r="G2940" i="6"/>
  <c r="G2941" i="6"/>
  <c r="G2942" i="6"/>
  <c r="G2944" i="6"/>
  <c r="G2945" i="6"/>
  <c r="G2946" i="6"/>
  <c r="G2948" i="6"/>
  <c r="Y2931" i="6"/>
  <c r="I2890" i="6"/>
  <c r="I2883" i="6"/>
  <c r="I2876" i="6"/>
  <c r="I2869" i="6"/>
  <c r="I2862" i="6"/>
  <c r="I2889" i="6"/>
  <c r="I2887" i="6"/>
  <c r="I2886" i="6"/>
  <c r="I2885" i="6"/>
  <c r="I2878" i="6"/>
  <c r="F3243" i="6"/>
  <c r="T3218" i="6"/>
  <c r="S3218" i="6"/>
  <c r="J3209" i="6"/>
  <c r="H3189" i="6"/>
  <c r="E3189" i="6"/>
  <c r="D3189" i="6"/>
  <c r="E3188" i="6"/>
  <c r="E3193" i="6" s="1"/>
  <c r="E3187" i="6"/>
  <c r="E3192" i="6" s="1"/>
  <c r="M3260" i="6"/>
  <c r="S3193" i="6" l="1"/>
  <c r="L3193" i="6"/>
  <c r="S3192" i="6"/>
  <c r="L3192" i="6"/>
  <c r="N3426" i="6"/>
  <c r="N3419" i="6"/>
  <c r="N3425" i="6"/>
  <c r="K3368" i="6"/>
  <c r="N3368" i="6" s="1"/>
  <c r="N3367" i="6"/>
  <c r="N3420" i="6"/>
  <c r="K3421" i="6"/>
  <c r="N3421" i="6" s="1"/>
  <c r="P3407" i="6"/>
  <c r="P3408" i="6" s="1"/>
  <c r="Q3405" i="6"/>
  <c r="Q3407" i="6" s="1"/>
  <c r="Q3408" i="6" s="1"/>
  <c r="V3218" i="6"/>
  <c r="G1136" i="6"/>
  <c r="H3188" i="6"/>
  <c r="D3188" i="6"/>
  <c r="D3193" i="6" s="1"/>
  <c r="R3193" i="6" s="1"/>
  <c r="I3187" i="6"/>
  <c r="I3188" i="6" s="1"/>
  <c r="I3189" i="6" s="1"/>
  <c r="J3189" i="6" s="1"/>
  <c r="D3187" i="6"/>
  <c r="D3192" i="6" s="1"/>
  <c r="R3192" i="6" s="1"/>
  <c r="H3187" i="6"/>
  <c r="J3186" i="6"/>
  <c r="R3259" i="6"/>
  <c r="S3259" i="6" s="1"/>
  <c r="M3259" i="6"/>
  <c r="T3268" i="6"/>
  <c r="V3268" i="6" s="1"/>
  <c r="U3270" i="6"/>
  <c r="S3270" i="6"/>
  <c r="R3270" i="6"/>
  <c r="U3266" i="6"/>
  <c r="S3266" i="6"/>
  <c r="R3266" i="6"/>
  <c r="U3269" i="6"/>
  <c r="S3269" i="6"/>
  <c r="R3269" i="6"/>
  <c r="O3270" i="6"/>
  <c r="N3270" i="6"/>
  <c r="M3270" i="6"/>
  <c r="O3266" i="6"/>
  <c r="N3266" i="6"/>
  <c r="M3266" i="6"/>
  <c r="O3267" i="6"/>
  <c r="N3267" i="6"/>
  <c r="M3267" i="6"/>
  <c r="O3269" i="6"/>
  <c r="N3269" i="6"/>
  <c r="M3269" i="6"/>
  <c r="U3267" i="6"/>
  <c r="O3268" i="6"/>
  <c r="N3268" i="6"/>
  <c r="M3268" i="6"/>
  <c r="S3267" i="6"/>
  <c r="R3267" i="6"/>
  <c r="M3257" i="6"/>
  <c r="R3257" i="6"/>
  <c r="S3257" i="6" s="1"/>
  <c r="D3398" i="6" l="1"/>
  <c r="P2990" i="6" s="1"/>
  <c r="D3346" i="6"/>
  <c r="Q2988" i="6" s="1"/>
  <c r="R3352" i="6"/>
  <c r="R3354" i="6" s="1"/>
  <c r="R3355" i="6" s="1"/>
  <c r="D3345" i="6"/>
  <c r="P2988" i="6" s="1"/>
  <c r="D3399" i="6"/>
  <c r="Q2990" i="6" s="1"/>
  <c r="R3405" i="6"/>
  <c r="R3407" i="6" s="1"/>
  <c r="R3408" i="6" s="1"/>
  <c r="T3266" i="6"/>
  <c r="V3266" i="6" s="1"/>
  <c r="T3267" i="6"/>
  <c r="V3267" i="6" s="1"/>
  <c r="K3189" i="6"/>
  <c r="L3189" i="6" s="1"/>
  <c r="H3202" i="6" s="1"/>
  <c r="Y3215" i="6" s="1"/>
  <c r="Z3215" i="6" s="1"/>
  <c r="K3186" i="6"/>
  <c r="L3186" i="6" s="1"/>
  <c r="J3188" i="6"/>
  <c r="J3187" i="6"/>
  <c r="T3270" i="6"/>
  <c r="V3270" i="6" s="1"/>
  <c r="T3269" i="6"/>
  <c r="V3269" i="6" s="1"/>
  <c r="W3310" i="6"/>
  <c r="L3308" i="6"/>
  <c r="G3879" i="6"/>
  <c r="Z3878" i="6"/>
  <c r="Y3878" i="6"/>
  <c r="S3876" i="6"/>
  <c r="T3876" i="6" s="1"/>
  <c r="V3876" i="6" s="1"/>
  <c r="S3875" i="6"/>
  <c r="T3875" i="6" s="1"/>
  <c r="V3875" i="6" s="1"/>
  <c r="Z3874" i="6"/>
  <c r="Y3874" i="6"/>
  <c r="V3872" i="6"/>
  <c r="Z3871" i="6"/>
  <c r="Y3871" i="6"/>
  <c r="W3868" i="6"/>
  <c r="Z3868" i="6" s="1"/>
  <c r="W3867" i="6"/>
  <c r="Y3867" i="6" s="1"/>
  <c r="Z3866" i="6"/>
  <c r="Y3866" i="6"/>
  <c r="T3862" i="6"/>
  <c r="S3862" i="6"/>
  <c r="Z3861" i="6"/>
  <c r="Y3861" i="6"/>
  <c r="J3853" i="6"/>
  <c r="J3851" i="6"/>
  <c r="J3850" i="6"/>
  <c r="J3848" i="6"/>
  <c r="J3847" i="6"/>
  <c r="J3846" i="6"/>
  <c r="H3837" i="6"/>
  <c r="H3840" i="6" s="1"/>
  <c r="H3836" i="6"/>
  <c r="K3188" i="6" l="1"/>
  <c r="L3188" i="6" s="1"/>
  <c r="K3187" i="6"/>
  <c r="L3187" i="6" s="1"/>
  <c r="H3838" i="6"/>
  <c r="H3845" i="6" s="1"/>
  <c r="V3862" i="6"/>
  <c r="G3234" i="6"/>
  <c r="J3206" i="6"/>
  <c r="J3207" i="6"/>
  <c r="Z3233" i="6"/>
  <c r="Y3233" i="6"/>
  <c r="Z3230" i="6"/>
  <c r="Y3230" i="6"/>
  <c r="Z3227" i="6"/>
  <c r="Y3227" i="6"/>
  <c r="Z3222" i="6"/>
  <c r="Y3222" i="6"/>
  <c r="Z3217" i="6"/>
  <c r="Y3217" i="6"/>
  <c r="W3224" i="6"/>
  <c r="Z3224" i="6" s="1"/>
  <c r="W3223" i="6"/>
  <c r="Y3223" i="6" s="1"/>
  <c r="H3842" i="6" l="1"/>
  <c r="H3843" i="6" s="1"/>
  <c r="S3231" i="6"/>
  <c r="V3228" i="6"/>
  <c r="I2880" i="6" l="1"/>
  <c r="I2879" i="6"/>
  <c r="I2832" i="6"/>
  <c r="G1323" i="6" l="1"/>
  <c r="Q2830" i="6" l="1"/>
  <c r="Q2829" i="6"/>
  <c r="I2829" i="6"/>
  <c r="I2830" i="6"/>
  <c r="H2830" i="6"/>
  <c r="H2829" i="6"/>
  <c r="F2830" i="6"/>
  <c r="F2829" i="6"/>
  <c r="D2831" i="6"/>
  <c r="D2830" i="6"/>
  <c r="D2829" i="6"/>
  <c r="W2898" i="6" l="1"/>
  <c r="W2900" i="6"/>
  <c r="N2937" i="6"/>
  <c r="I2937" i="6"/>
  <c r="G2937" i="6"/>
  <c r="I2946" i="6"/>
  <c r="R2953" i="6" s="1"/>
  <c r="I2948" i="6"/>
  <c r="AA2940" i="6"/>
  <c r="M2945" i="6"/>
  <c r="M2944" i="6"/>
  <c r="I2944" i="6"/>
  <c r="I2942" i="6"/>
  <c r="I2945" i="6"/>
  <c r="D2926" i="6"/>
  <c r="L2938" i="6" s="1"/>
  <c r="G2959" i="6"/>
  <c r="G2958" i="6"/>
  <c r="I2941" i="6"/>
  <c r="G2936" i="6"/>
  <c r="J2952" i="6"/>
  <c r="O2940" i="6"/>
  <c r="N2940" i="6"/>
  <c r="M2940" i="6"/>
  <c r="S2940" i="6" s="1"/>
  <c r="L2940" i="6"/>
  <c r="I2940" i="6"/>
  <c r="N2936" i="6"/>
  <c r="N2932" i="6"/>
  <c r="G2926" i="6"/>
  <c r="M2938" i="6" s="1"/>
  <c r="S2938" i="6" s="1"/>
  <c r="I2926" i="6"/>
  <c r="O2938" i="6" s="1"/>
  <c r="G2932" i="6"/>
  <c r="I2936" i="6"/>
  <c r="I2800" i="6"/>
  <c r="E2800" i="6"/>
  <c r="I2925" i="6"/>
  <c r="G2925" i="6"/>
  <c r="I2932" i="6"/>
  <c r="I2934" i="6"/>
  <c r="G2934" i="6"/>
  <c r="I2922" i="6"/>
  <c r="H2922" i="6"/>
  <c r="G2922" i="6"/>
  <c r="I2923" i="6"/>
  <c r="J2938" i="6" s="1"/>
  <c r="G2923" i="6"/>
  <c r="H2938" i="6" s="1"/>
  <c r="I2924" i="6"/>
  <c r="J2940" i="6" s="1"/>
  <c r="G2924" i="6"/>
  <c r="H2936" i="6" s="1"/>
  <c r="Y2936" i="6" s="1"/>
  <c r="J2823" i="6"/>
  <c r="J2824" i="6"/>
  <c r="M2824" i="6" l="1"/>
  <c r="G3093" i="6" s="1"/>
  <c r="S2952" i="6"/>
  <c r="I2955" i="6" s="1"/>
  <c r="R2952" i="6"/>
  <c r="J2937" i="6"/>
  <c r="K2906" i="6"/>
  <c r="O2937" i="6"/>
  <c r="H2906" i="6"/>
  <c r="M2936" i="6"/>
  <c r="X2936" i="6" s="1"/>
  <c r="G2906" i="6"/>
  <c r="H2934" i="6"/>
  <c r="J2906" i="6"/>
  <c r="E2855" i="6"/>
  <c r="E2821" i="6"/>
  <c r="H2821" i="6" s="1"/>
  <c r="E2818" i="6"/>
  <c r="J2942" i="6"/>
  <c r="F2855" i="6"/>
  <c r="F2821" i="6"/>
  <c r="F2818" i="6"/>
  <c r="I2818" i="6" s="1"/>
  <c r="H2942" i="6"/>
  <c r="L2936" i="6"/>
  <c r="D2832" i="6"/>
  <c r="O2932" i="6"/>
  <c r="H2944" i="6"/>
  <c r="O2936" i="6"/>
  <c r="J2944" i="6"/>
  <c r="J2945" i="6"/>
  <c r="L2937" i="6"/>
  <c r="H2948" i="6"/>
  <c r="H2937" i="6"/>
  <c r="H2945" i="6"/>
  <c r="J2948" i="6"/>
  <c r="H2940" i="6"/>
  <c r="M2937" i="6"/>
  <c r="L2932" i="6"/>
  <c r="J2936" i="6"/>
  <c r="M2932" i="6"/>
  <c r="S2932" i="6" s="1"/>
  <c r="T2936" i="6"/>
  <c r="M2923" i="6"/>
  <c r="J2932" i="6"/>
  <c r="H2932" i="6"/>
  <c r="J2934" i="6"/>
  <c r="M2924" i="6"/>
  <c r="N2824" i="6"/>
  <c r="AB1274" i="6"/>
  <c r="AC1274" i="6" s="1"/>
  <c r="U1274" i="6"/>
  <c r="V1274" i="6" s="1"/>
  <c r="W1274" i="6" s="1"/>
  <c r="AB1275" i="6"/>
  <c r="AC1275" i="6" s="1"/>
  <c r="U1275" i="6"/>
  <c r="V1275" i="6" s="1"/>
  <c r="W1275" i="6" s="1"/>
  <c r="J3377" i="6"/>
  <c r="K3377" i="6" s="1"/>
  <c r="R1241" i="6"/>
  <c r="S1241" i="6" s="1"/>
  <c r="M1241" i="6"/>
  <c r="P3522" i="6"/>
  <c r="R1253" i="6"/>
  <c r="S1253" i="6" s="1"/>
  <c r="R1252" i="6"/>
  <c r="S1252" i="6" s="1"/>
  <c r="R1251" i="6"/>
  <c r="S1251" i="6" s="1"/>
  <c r="R1250" i="6"/>
  <c r="S1250" i="6" s="1"/>
  <c r="M1250" i="6"/>
  <c r="R1257" i="6"/>
  <c r="S1257" i="6" s="1"/>
  <c r="R1247" i="6"/>
  <c r="S1247" i="6" s="1"/>
  <c r="R1256" i="6"/>
  <c r="S1256" i="6" s="1"/>
  <c r="R1255" i="6"/>
  <c r="S1255" i="6" s="1"/>
  <c r="R1248" i="6"/>
  <c r="S1248" i="6" s="1"/>
  <c r="R1246" i="6"/>
  <c r="S1246" i="6" s="1"/>
  <c r="M1246" i="6"/>
  <c r="R1244" i="6"/>
  <c r="S1244" i="6" s="1"/>
  <c r="R1243" i="6"/>
  <c r="S1243" i="6" s="1"/>
  <c r="M1243" i="6"/>
  <c r="F2814" i="6"/>
  <c r="F2813" i="6"/>
  <c r="F2812" i="6"/>
  <c r="F2811" i="6"/>
  <c r="H2910" i="6" l="1"/>
  <c r="H2914" i="6"/>
  <c r="K2910" i="6"/>
  <c r="W2906" i="6"/>
  <c r="P2906" i="6"/>
  <c r="K2914" i="6"/>
  <c r="J2910" i="6"/>
  <c r="J2914" i="6"/>
  <c r="G2910" i="6"/>
  <c r="N2910" i="6" s="1"/>
  <c r="G2914" i="6"/>
  <c r="N2914" i="6" s="1"/>
  <c r="O2914" i="6" s="1"/>
  <c r="N2906" i="6"/>
  <c r="L3167" i="6"/>
  <c r="L3168" i="6"/>
  <c r="L3169" i="6"/>
  <c r="L3153" i="6"/>
  <c r="L3154" i="6" s="1"/>
  <c r="P2824" i="6"/>
  <c r="J2927" i="6" s="1"/>
  <c r="I2927" i="6" s="1"/>
  <c r="H3093" i="6"/>
  <c r="S2937" i="6"/>
  <c r="X2937" i="6"/>
  <c r="X2938" i="6" s="1"/>
  <c r="S2936" i="6"/>
  <c r="I2855" i="6"/>
  <c r="S2906" i="6" s="1"/>
  <c r="H2855" i="6"/>
  <c r="T2906" i="6" s="1"/>
  <c r="H2818" i="6"/>
  <c r="L2818" i="6"/>
  <c r="Y1275" i="6"/>
  <c r="Y1274" i="6"/>
  <c r="L3377" i="6"/>
  <c r="F2815" i="6"/>
  <c r="N2791" i="6" s="1"/>
  <c r="P2560" i="6"/>
  <c r="O2560" i="6"/>
  <c r="K2561" i="6"/>
  <c r="S2910" i="6" l="1"/>
  <c r="S2914" i="6"/>
  <c r="O2910" i="6"/>
  <c r="Q2910" i="6" s="1"/>
  <c r="Q2906" i="6"/>
  <c r="T2910" i="6"/>
  <c r="U2910" i="6" s="1"/>
  <c r="V2910" i="6" s="1"/>
  <c r="X2910" i="6" s="1"/>
  <c r="T2914" i="6"/>
  <c r="U2914" i="6" s="1"/>
  <c r="V2914" i="6" s="1"/>
  <c r="U2906" i="6"/>
  <c r="X2906" i="6" s="1"/>
  <c r="W2914" i="6"/>
  <c r="P2914" i="6"/>
  <c r="Q2914" i="6" s="1"/>
  <c r="W2937" i="6"/>
  <c r="Y2937" i="6" s="1"/>
  <c r="Y2938" i="6" s="1"/>
  <c r="K2952" i="6"/>
  <c r="H2993" i="6" s="1"/>
  <c r="J2946" i="6"/>
  <c r="M3168" i="6"/>
  <c r="M3169" i="6"/>
  <c r="M3167" i="6"/>
  <c r="M3153" i="6"/>
  <c r="F3153" i="6" s="1"/>
  <c r="F3094" i="6" s="1"/>
  <c r="J2941" i="6"/>
  <c r="G2927" i="6"/>
  <c r="M2560" i="6"/>
  <c r="P2598" i="6"/>
  <c r="I2694" i="6"/>
  <c r="P2617" i="6"/>
  <c r="P2626" i="6" s="1"/>
  <c r="P2614" i="6"/>
  <c r="P2611" i="6"/>
  <c r="P2612" i="6" s="1"/>
  <c r="P2610" i="6"/>
  <c r="P2607" i="6"/>
  <c r="P2608" i="6" s="1"/>
  <c r="P2578" i="6"/>
  <c r="P2576" i="6"/>
  <c r="P2579" i="6" s="1"/>
  <c r="P2581" i="6" s="1"/>
  <c r="O2617" i="6"/>
  <c r="O2626" i="6" s="1"/>
  <c r="M2617" i="6"/>
  <c r="M2626" i="6" s="1"/>
  <c r="O2614" i="6"/>
  <c r="M2614" i="6"/>
  <c r="O2611" i="6"/>
  <c r="O2612" i="6" s="1"/>
  <c r="M2611" i="6"/>
  <c r="M2612" i="6" s="1"/>
  <c r="O2610" i="6"/>
  <c r="M2610" i="6"/>
  <c r="O2607" i="6"/>
  <c r="O2608" i="6" s="1"/>
  <c r="M2607" i="6"/>
  <c r="M2608" i="6" s="1"/>
  <c r="O2578" i="6"/>
  <c r="M2578" i="6"/>
  <c r="O2576" i="6"/>
  <c r="O2579" i="6" s="1"/>
  <c r="M2576" i="6"/>
  <c r="M2579" i="6" s="1"/>
  <c r="I2690" i="6"/>
  <c r="K2730" i="6"/>
  <c r="J2730" i="6"/>
  <c r="I2730" i="6"/>
  <c r="K2726" i="6"/>
  <c r="J2726" i="6"/>
  <c r="I2726" i="6"/>
  <c r="I2719" i="6"/>
  <c r="K2725" i="6"/>
  <c r="J2725" i="6"/>
  <c r="I2725" i="6"/>
  <c r="I2720" i="6"/>
  <c r="K2720" i="6"/>
  <c r="J2720" i="6"/>
  <c r="I2723" i="6"/>
  <c r="K2723" i="6"/>
  <c r="K2719" i="6"/>
  <c r="J2723" i="6"/>
  <c r="J2719" i="6"/>
  <c r="X2914" i="6" l="1"/>
  <c r="H3001" i="6"/>
  <c r="Q3001" i="6" s="1"/>
  <c r="H2996" i="6"/>
  <c r="Q2996" i="6" s="1"/>
  <c r="H2997" i="6"/>
  <c r="Q2997" i="6" s="1"/>
  <c r="Q2993" i="6"/>
  <c r="W2938" i="6"/>
  <c r="I2952" i="6"/>
  <c r="O3153" i="6"/>
  <c r="O3154" i="6" s="1"/>
  <c r="M3154" i="6"/>
  <c r="G3154" i="6" s="1"/>
  <c r="G3096" i="6" s="1"/>
  <c r="L3158" i="6" s="1"/>
  <c r="G3153" i="6"/>
  <c r="G3094" i="6" s="1"/>
  <c r="L3156" i="6" s="1"/>
  <c r="O3169" i="6"/>
  <c r="H3169" i="6"/>
  <c r="F3169" i="6"/>
  <c r="G3169" i="6"/>
  <c r="H3153" i="6"/>
  <c r="H3094" i="6" s="1"/>
  <c r="M3156" i="6" s="1"/>
  <c r="H3168" i="6"/>
  <c r="F3168" i="6"/>
  <c r="O3168" i="6"/>
  <c r="G3168" i="6"/>
  <c r="O3167" i="6"/>
  <c r="F3167" i="6"/>
  <c r="Y3437" i="6" s="1"/>
  <c r="Y3446" i="6" s="1"/>
  <c r="H3167" i="6"/>
  <c r="G3167" i="6"/>
  <c r="H2946" i="6"/>
  <c r="K2953" i="6" s="1"/>
  <c r="H2994" i="6" s="1"/>
  <c r="Q2994" i="6" s="1"/>
  <c r="H2941" i="6"/>
  <c r="P2628" i="6"/>
  <c r="M2632" i="6"/>
  <c r="O2621" i="6"/>
  <c r="M2621" i="6"/>
  <c r="P2632" i="6"/>
  <c r="O2632" i="6"/>
  <c r="M2628" i="6"/>
  <c r="P2577" i="6"/>
  <c r="P2599" i="6" s="1"/>
  <c r="P2585" i="6"/>
  <c r="P2620" i="6"/>
  <c r="P2587" i="6"/>
  <c r="P2588" i="6" s="1"/>
  <c r="P2639" i="6" s="1"/>
  <c r="P2624" i="6"/>
  <c r="P2580" i="6"/>
  <c r="P2582" i="6" s="1"/>
  <c r="P2630" i="6"/>
  <c r="P2601" i="6"/>
  <c r="P2636" i="6" s="1"/>
  <c r="P2621" i="6"/>
  <c r="P2623" i="6"/>
  <c r="O2628" i="6"/>
  <c r="M2623" i="6"/>
  <c r="M2630" i="6"/>
  <c r="O2580" i="6"/>
  <c r="O2582" i="6" s="1"/>
  <c r="O2581" i="6"/>
  <c r="M2581" i="6"/>
  <c r="M2580" i="6"/>
  <c r="M2582" i="6" s="1"/>
  <c r="O2623" i="6"/>
  <c r="O2630" i="6"/>
  <c r="M2624" i="6"/>
  <c r="O2577" i="6"/>
  <c r="O2599" i="6" s="1"/>
  <c r="O2587" i="6"/>
  <c r="O2601" i="6"/>
  <c r="O2636" i="6" s="1"/>
  <c r="O2624" i="6"/>
  <c r="M2577" i="6"/>
  <c r="M2599" i="6" s="1"/>
  <c r="M2598" i="6"/>
  <c r="M2620" i="6"/>
  <c r="M2587" i="6"/>
  <c r="O2598" i="6"/>
  <c r="O2620" i="6"/>
  <c r="M2601" i="6"/>
  <c r="M2636" i="6" s="1"/>
  <c r="M2585" i="6"/>
  <c r="O2585" i="6"/>
  <c r="K2560" i="6"/>
  <c r="J2560" i="6"/>
  <c r="K2617" i="6"/>
  <c r="K2626" i="6" s="1"/>
  <c r="K2614" i="6"/>
  <c r="K2611" i="6"/>
  <c r="K2612" i="6" s="1"/>
  <c r="K2610" i="6"/>
  <c r="K2607" i="6"/>
  <c r="K2608" i="6" s="1"/>
  <c r="K2578" i="6"/>
  <c r="K2576" i="6"/>
  <c r="K2577" i="6" s="1"/>
  <c r="J2617" i="6"/>
  <c r="J2626" i="6" s="1"/>
  <c r="J2614" i="6"/>
  <c r="J2611" i="6"/>
  <c r="J2612" i="6" s="1"/>
  <c r="J2610" i="6"/>
  <c r="J2607" i="6"/>
  <c r="J2608" i="6" s="1"/>
  <c r="J2578" i="6"/>
  <c r="J2576" i="6"/>
  <c r="J2579" i="6" s="1"/>
  <c r="I2686" i="6"/>
  <c r="I2673" i="6"/>
  <c r="I2617" i="6"/>
  <c r="I2626" i="6" s="1"/>
  <c r="AE2705" i="6"/>
  <c r="AF2705" i="6" s="1"/>
  <c r="AG2705" i="6" s="1"/>
  <c r="AE2704" i="6"/>
  <c r="AF2704" i="6" s="1"/>
  <c r="AE2703" i="6"/>
  <c r="AF2703" i="6" s="1"/>
  <c r="AB2704" i="6"/>
  <c r="AC2704" i="6"/>
  <c r="AB2705" i="6"/>
  <c r="AC2705" i="6"/>
  <c r="I2578" i="6"/>
  <c r="I2560" i="6"/>
  <c r="K2764" i="6"/>
  <c r="N2764" i="6" s="1"/>
  <c r="Q2764" i="6"/>
  <c r="K2765" i="6"/>
  <c r="N2765" i="6" s="1"/>
  <c r="Q2765" i="6"/>
  <c r="K2766" i="6"/>
  <c r="N2766" i="6" s="1"/>
  <c r="Q2766" i="6"/>
  <c r="K2767" i="6"/>
  <c r="I2607" i="6"/>
  <c r="I2608" i="6" s="1"/>
  <c r="R3810" i="6"/>
  <c r="J3810" i="6"/>
  <c r="O3810" i="6" s="1"/>
  <c r="P3810" i="6" s="1"/>
  <c r="I2614" i="6"/>
  <c r="I2611" i="6"/>
  <c r="I2612" i="6" s="1"/>
  <c r="AA3446" i="6" l="1"/>
  <c r="K3012" i="6"/>
  <c r="AD3446" i="6"/>
  <c r="AB3446" i="6"/>
  <c r="AE3446" i="6" s="1"/>
  <c r="T3446" i="6" s="1"/>
  <c r="Q3012" i="6" s="1"/>
  <c r="Y3442" i="6"/>
  <c r="K3024" i="6" s="1"/>
  <c r="F3552" i="6"/>
  <c r="F2241" i="6"/>
  <c r="F2244" i="6" s="1"/>
  <c r="H2244" i="6" s="1"/>
  <c r="Y3457" i="6"/>
  <c r="Y3461" i="6"/>
  <c r="Y3453" i="6"/>
  <c r="AA3437" i="6"/>
  <c r="AD3437" i="6" s="1"/>
  <c r="S3437" i="6" s="1"/>
  <c r="Y3452" i="6"/>
  <c r="Y3451" i="6"/>
  <c r="F3154" i="6"/>
  <c r="F3096" i="6" s="1"/>
  <c r="AB3437" i="6"/>
  <c r="Y3449" i="6"/>
  <c r="Y3450" i="6"/>
  <c r="K3013" i="6" s="1"/>
  <c r="Y3447" i="6"/>
  <c r="Y3448" i="6"/>
  <c r="Y3439" i="6"/>
  <c r="G3156" i="6"/>
  <c r="G3095" i="6" s="1"/>
  <c r="H3156" i="6"/>
  <c r="H3095" i="6" s="1"/>
  <c r="H3154" i="6"/>
  <c r="H3096" i="6" s="1"/>
  <c r="M3158" i="6" s="1"/>
  <c r="M3159" i="6" s="1"/>
  <c r="M3161" i="6" s="1"/>
  <c r="M3162" i="6" s="1"/>
  <c r="I2953" i="6"/>
  <c r="K2955" i="6"/>
  <c r="O3156" i="6"/>
  <c r="F3156" i="6"/>
  <c r="L3159" i="6"/>
  <c r="P2593" i="6"/>
  <c r="P2596" i="6" s="1"/>
  <c r="P2594" i="6"/>
  <c r="P2600" i="6" s="1"/>
  <c r="P2634" i="6" s="1"/>
  <c r="I2624" i="6"/>
  <c r="P2586" i="6"/>
  <c r="P2589" i="6"/>
  <c r="P2590" i="6" s="1"/>
  <c r="M2589" i="6"/>
  <c r="M2590" i="6" s="1"/>
  <c r="M2588" i="6"/>
  <c r="M2593" i="6"/>
  <c r="M2596" i="6" s="1"/>
  <c r="M2594" i="6"/>
  <c r="O2589" i="6"/>
  <c r="O2590" i="6" s="1"/>
  <c r="O2588" i="6"/>
  <c r="O2594" i="6"/>
  <c r="O2593" i="6"/>
  <c r="O2596" i="6" s="1"/>
  <c r="K2630" i="6"/>
  <c r="K2599" i="6"/>
  <c r="J2624" i="6"/>
  <c r="K2579" i="6"/>
  <c r="K2580" i="6" s="1"/>
  <c r="K2582" i="6" s="1"/>
  <c r="J2628" i="6"/>
  <c r="K2632" i="6"/>
  <c r="J2632" i="6"/>
  <c r="K2598" i="6"/>
  <c r="K2601" i="6"/>
  <c r="K2636" i="6" s="1"/>
  <c r="K2594" i="6"/>
  <c r="K2595" i="6" s="1"/>
  <c r="K2573" i="6" s="1"/>
  <c r="K2593" i="6"/>
  <c r="K2596" i="6" s="1"/>
  <c r="K2628" i="6"/>
  <c r="K2620" i="6"/>
  <c r="K2621" i="6"/>
  <c r="K2585" i="6"/>
  <c r="K2623" i="6"/>
  <c r="K2624" i="6"/>
  <c r="K2587" i="6"/>
  <c r="K2588" i="6" s="1"/>
  <c r="K2639" i="6" s="1"/>
  <c r="J2577" i="6"/>
  <c r="J2599" i="6" s="1"/>
  <c r="J2581" i="6"/>
  <c r="J2580" i="6"/>
  <c r="J2582" i="6" s="1"/>
  <c r="J2630" i="6"/>
  <c r="J2587" i="6"/>
  <c r="J2588" i="6" s="1"/>
  <c r="J2639" i="6" s="1"/>
  <c r="J2598" i="6"/>
  <c r="J2601" i="6"/>
  <c r="J2636" i="6" s="1"/>
  <c r="J2620" i="6"/>
  <c r="J2621" i="6"/>
  <c r="J2585" i="6"/>
  <c r="J2623" i="6"/>
  <c r="I2630" i="6"/>
  <c r="I2601" i="6"/>
  <c r="I2636" i="6" s="1"/>
  <c r="I2623" i="6"/>
  <c r="I2585" i="6"/>
  <c r="I2628" i="6"/>
  <c r="AG2704" i="6"/>
  <c r="AG2703" i="6"/>
  <c r="S2766" i="6"/>
  <c r="U2766" i="6" s="1"/>
  <c r="S2764" i="6"/>
  <c r="U2764" i="6" s="1"/>
  <c r="S2765" i="6"/>
  <c r="U2765" i="6" s="1"/>
  <c r="I2620" i="6"/>
  <c r="I2621" i="6"/>
  <c r="I2587" i="6"/>
  <c r="I2610" i="6"/>
  <c r="I2632" i="6" s="1"/>
  <c r="I2679" i="6" s="1"/>
  <c r="R3806" i="6"/>
  <c r="R3807" i="6"/>
  <c r="J3807" i="6"/>
  <c r="O3807" i="6" s="1"/>
  <c r="P3807" i="6" s="1"/>
  <c r="J3806" i="6"/>
  <c r="O3806" i="6" s="1"/>
  <c r="P3806" i="6" s="1"/>
  <c r="P1403" i="6"/>
  <c r="P1390" i="6"/>
  <c r="T3231" i="6"/>
  <c r="D11" i="10"/>
  <c r="P1376" i="6"/>
  <c r="S3446" i="6" l="1"/>
  <c r="P3012" i="6" s="1"/>
  <c r="AB3442" i="6"/>
  <c r="AE3442" i="6" s="1"/>
  <c r="T3442" i="6" s="1"/>
  <c r="Q3024" i="6" s="1"/>
  <c r="AD3442" i="6"/>
  <c r="AA3442" i="6"/>
  <c r="Y3444" i="6"/>
  <c r="Y3443" i="6"/>
  <c r="F2242" i="6"/>
  <c r="H2242" i="6" s="1"/>
  <c r="I2242" i="6" s="1"/>
  <c r="F2243" i="6"/>
  <c r="H2243" i="6" s="1"/>
  <c r="I2243" i="6" s="1"/>
  <c r="F3555" i="6"/>
  <c r="F3554" i="6"/>
  <c r="H3552" i="6"/>
  <c r="I3552" i="6" s="1"/>
  <c r="F3553" i="6"/>
  <c r="H2241" i="6"/>
  <c r="I2241" i="6" s="1"/>
  <c r="K3000" i="6"/>
  <c r="AA3461" i="6"/>
  <c r="AD3461" i="6"/>
  <c r="AB3461" i="6"/>
  <c r="AE3461" i="6" s="1"/>
  <c r="T3461" i="6" s="1"/>
  <c r="Q3000" i="6" s="1"/>
  <c r="Y3459" i="6"/>
  <c r="Y3458" i="6"/>
  <c r="K3015" i="6" s="1"/>
  <c r="AD3457" i="6"/>
  <c r="AB3457" i="6"/>
  <c r="AE3457" i="6" s="1"/>
  <c r="T3457" i="6" s="1"/>
  <c r="AA3457" i="6"/>
  <c r="I2244" i="6"/>
  <c r="K3009" i="6"/>
  <c r="K3010" i="6"/>
  <c r="K3004" i="6"/>
  <c r="K3003" i="6"/>
  <c r="K3006" i="6"/>
  <c r="K3007" i="6"/>
  <c r="K3014" i="6"/>
  <c r="AA3453" i="6"/>
  <c r="AB3453" i="6"/>
  <c r="AE3453" i="6" s="1"/>
  <c r="T3453" i="6" s="1"/>
  <c r="AD3453" i="6"/>
  <c r="AE3437" i="6"/>
  <c r="T3437" i="6" s="1"/>
  <c r="E3514" i="6"/>
  <c r="K2984" i="6"/>
  <c r="K2985" i="6"/>
  <c r="K2986" i="6"/>
  <c r="K2983" i="6"/>
  <c r="K2982" i="6"/>
  <c r="AD3451" i="6"/>
  <c r="AB3451" i="6"/>
  <c r="AA3451" i="6"/>
  <c r="F3095" i="6"/>
  <c r="H3195" i="6" s="1"/>
  <c r="H3196" i="6" s="1"/>
  <c r="Y3454" i="6"/>
  <c r="AA3452" i="6"/>
  <c r="AB3452" i="6"/>
  <c r="AD3452" i="6"/>
  <c r="F3158" i="6"/>
  <c r="F3097" i="6" s="1"/>
  <c r="AB3439" i="6"/>
  <c r="AA3439" i="6"/>
  <c r="AA3447" i="6"/>
  <c r="AB3447" i="6"/>
  <c r="AD3447" i="6"/>
  <c r="AD3450" i="6"/>
  <c r="AB3450" i="6"/>
  <c r="AA3450" i="6"/>
  <c r="AA3448" i="6"/>
  <c r="AD3448" i="6"/>
  <c r="AB3448" i="6"/>
  <c r="AA3449" i="6"/>
  <c r="AB3449" i="6"/>
  <c r="AE3449" i="6" s="1"/>
  <c r="T3449" i="6" s="1"/>
  <c r="AD3449" i="6"/>
  <c r="G3158" i="6"/>
  <c r="G3097" i="6" s="1"/>
  <c r="O3158" i="6"/>
  <c r="O3159" i="6" s="1"/>
  <c r="H3158" i="6"/>
  <c r="H3097" i="6" s="1"/>
  <c r="R2932" i="6"/>
  <c r="T2932" i="6" s="1"/>
  <c r="H3197" i="6"/>
  <c r="H3200" i="6" s="1"/>
  <c r="R2940" i="6"/>
  <c r="T2940" i="6" s="1"/>
  <c r="R2938" i="6"/>
  <c r="T2938" i="6" s="1"/>
  <c r="R2937" i="6"/>
  <c r="T2937" i="6" s="1"/>
  <c r="G3159" i="6"/>
  <c r="G3098" i="6" s="1"/>
  <c r="F3159" i="6"/>
  <c r="F3098" i="6" s="1"/>
  <c r="H3159" i="6"/>
  <c r="H3098" i="6" s="1"/>
  <c r="L3161" i="6"/>
  <c r="P2602" i="6"/>
  <c r="P2637" i="6" s="1"/>
  <c r="P2641" i="6" s="1"/>
  <c r="P2643" i="6" s="1"/>
  <c r="P2572" i="6" s="1"/>
  <c r="P2595" i="6"/>
  <c r="P2573" i="6" s="1"/>
  <c r="P2597" i="6"/>
  <c r="O2597" i="6"/>
  <c r="I2588" i="6"/>
  <c r="I2639" i="6" s="1"/>
  <c r="I2691" i="6" s="1"/>
  <c r="I2674" i="6"/>
  <c r="M2597" i="6"/>
  <c r="O2586" i="6"/>
  <c r="O2639" i="6"/>
  <c r="M2595" i="6"/>
  <c r="M2573" i="6" s="1"/>
  <c r="M2602" i="6"/>
  <c r="M2637" i="6" s="1"/>
  <c r="M2600" i="6"/>
  <c r="M2634" i="6" s="1"/>
  <c r="M2586" i="6"/>
  <c r="M2639" i="6"/>
  <c r="O2595" i="6"/>
  <c r="O2573" i="6" s="1"/>
  <c r="O2602" i="6"/>
  <c r="O2637" i="6" s="1"/>
  <c r="O2600" i="6"/>
  <c r="O2634" i="6" s="1"/>
  <c r="K2597" i="6"/>
  <c r="K2581" i="6"/>
  <c r="K2589" i="6" s="1"/>
  <c r="K2590" i="6" s="1"/>
  <c r="K2586" i="6"/>
  <c r="K2602" i="6"/>
  <c r="K2637" i="6" s="1"/>
  <c r="K2600" i="6"/>
  <c r="K2634" i="6" s="1"/>
  <c r="J2594" i="6"/>
  <c r="J2595" i="6" s="1"/>
  <c r="J2573" i="6" s="1"/>
  <c r="J2593" i="6"/>
  <c r="J2596" i="6" s="1"/>
  <c r="J2589" i="6"/>
  <c r="J2590" i="6" s="1"/>
  <c r="J2586" i="6"/>
  <c r="H1650" i="6"/>
  <c r="AA1351" i="6"/>
  <c r="Y1351" i="6"/>
  <c r="Z1351" i="6" s="1"/>
  <c r="W1351" i="6"/>
  <c r="V1351" i="6"/>
  <c r="U1351" i="6"/>
  <c r="AA1350" i="6"/>
  <c r="W1350" i="6"/>
  <c r="V1350" i="6"/>
  <c r="U1350" i="6"/>
  <c r="AD3443" i="6" l="1"/>
  <c r="K3022" i="6"/>
  <c r="S3442" i="6"/>
  <c r="P3024" i="6" s="1"/>
  <c r="AA3443" i="6"/>
  <c r="S3443" i="6" s="1"/>
  <c r="P3022" i="6" s="1"/>
  <c r="AB3443" i="6"/>
  <c r="AE3443" i="6" s="1"/>
  <c r="T3443" i="6" s="1"/>
  <c r="Q3022" i="6" s="1"/>
  <c r="K3028" i="6"/>
  <c r="K3027" i="6"/>
  <c r="K3025" i="6"/>
  <c r="AB3444" i="6"/>
  <c r="AE3444" i="6" s="1"/>
  <c r="T3444" i="6" s="1"/>
  <c r="AA3444" i="6"/>
  <c r="AD3444" i="6"/>
  <c r="H3553" i="6"/>
  <c r="I3553" i="6" s="1"/>
  <c r="H3554" i="6"/>
  <c r="I3554" i="6" s="1"/>
  <c r="H3555" i="6"/>
  <c r="I3555" i="6" s="1"/>
  <c r="J3552" i="6"/>
  <c r="O3552" i="6"/>
  <c r="S3461" i="6"/>
  <c r="P3000" i="6" s="1"/>
  <c r="K2999" i="6"/>
  <c r="AD3458" i="6"/>
  <c r="AB3458" i="6"/>
  <c r="AE3458" i="6" s="1"/>
  <c r="T3458" i="6" s="1"/>
  <c r="AA3458" i="6"/>
  <c r="AB3459" i="6"/>
  <c r="AE3459" i="6" s="1"/>
  <c r="T3459" i="6" s="1"/>
  <c r="AA3459" i="6"/>
  <c r="AD3459" i="6"/>
  <c r="S3457" i="6"/>
  <c r="S3451" i="6"/>
  <c r="P3009" i="6" s="1"/>
  <c r="S3447" i="6"/>
  <c r="U3231" i="6"/>
  <c r="V3231" i="6" s="1"/>
  <c r="S3453" i="6"/>
  <c r="Q3004" i="6"/>
  <c r="Q3007" i="6"/>
  <c r="Q3006" i="6"/>
  <c r="Q3003" i="6"/>
  <c r="S3452" i="6"/>
  <c r="S3449" i="6"/>
  <c r="E3524" i="6"/>
  <c r="E3522" i="6"/>
  <c r="E3515" i="6"/>
  <c r="E3521" i="6"/>
  <c r="E3520" i="6"/>
  <c r="E3525" i="6"/>
  <c r="E3528" i="6"/>
  <c r="E3519" i="6"/>
  <c r="E3527" i="6"/>
  <c r="E3517" i="6"/>
  <c r="E3526" i="6"/>
  <c r="E3516" i="6"/>
  <c r="S3448" i="6"/>
  <c r="S3450" i="6"/>
  <c r="AE3451" i="6"/>
  <c r="T3451" i="6" s="1"/>
  <c r="F3186" i="6"/>
  <c r="AE3448" i="6"/>
  <c r="T3448" i="6" s="1"/>
  <c r="AE3447" i="6"/>
  <c r="T3447" i="6" s="1"/>
  <c r="AE3439" i="6"/>
  <c r="AA3454" i="6"/>
  <c r="K2992" i="6"/>
  <c r="AB3454" i="6"/>
  <c r="AD3454" i="6"/>
  <c r="AE3452" i="6"/>
  <c r="T3452" i="6" s="1"/>
  <c r="AE3450" i="6"/>
  <c r="T3450" i="6" s="1"/>
  <c r="AD3439" i="6"/>
  <c r="S3439" i="6" s="1"/>
  <c r="H3198" i="6"/>
  <c r="G3161" i="6"/>
  <c r="G3099" i="6" s="1"/>
  <c r="O3161" i="6"/>
  <c r="O3162" i="6" s="1"/>
  <c r="F3161" i="6"/>
  <c r="L3162" i="6"/>
  <c r="H3161" i="6"/>
  <c r="H3099" i="6" s="1"/>
  <c r="P2574" i="6"/>
  <c r="O2641" i="6"/>
  <c r="O2574" i="6" s="1"/>
  <c r="K2641" i="6"/>
  <c r="K2574" i="6" s="1"/>
  <c r="M2641" i="6"/>
  <c r="M2574" i="6" s="1"/>
  <c r="I2586" i="6"/>
  <c r="J2597" i="6"/>
  <c r="J2602" i="6"/>
  <c r="J2637" i="6" s="1"/>
  <c r="J2600" i="6"/>
  <c r="J2634" i="6" s="1"/>
  <c r="S483" i="6"/>
  <c r="S487" i="6" s="1"/>
  <c r="Z482" i="6"/>
  <c r="Q3013" i="6" l="1"/>
  <c r="Q3015" i="6"/>
  <c r="P3013" i="6"/>
  <c r="P3015" i="6"/>
  <c r="Q2999" i="6"/>
  <c r="F3191" i="6"/>
  <c r="N3186" i="6"/>
  <c r="S3444" i="6"/>
  <c r="Q3028" i="6"/>
  <c r="Q3027" i="6"/>
  <c r="Q3025" i="6"/>
  <c r="P3028" i="6"/>
  <c r="P3027" i="6"/>
  <c r="P3025" i="6"/>
  <c r="O3553" i="6"/>
  <c r="J3554" i="6"/>
  <c r="J3553" i="6"/>
  <c r="J3555" i="6"/>
  <c r="O3554" i="6"/>
  <c r="O3555" i="6"/>
  <c r="S3458" i="6"/>
  <c r="F3099" i="6"/>
  <c r="F3556" i="6"/>
  <c r="S3459" i="6"/>
  <c r="P3003" i="6"/>
  <c r="P3010" i="6"/>
  <c r="P3006" i="6"/>
  <c r="P3004" i="6"/>
  <c r="P3007" i="6"/>
  <c r="Q3010" i="6"/>
  <c r="Q3009" i="6"/>
  <c r="P3014" i="6"/>
  <c r="Q3014" i="6"/>
  <c r="S3454" i="6"/>
  <c r="P2992" i="6" s="1"/>
  <c r="AE3454" i="6"/>
  <c r="T3454" i="6" s="1"/>
  <c r="Q2992" i="6" s="1"/>
  <c r="T3439" i="6"/>
  <c r="Q2985" i="6"/>
  <c r="Q2986" i="6"/>
  <c r="Q2983" i="6"/>
  <c r="Q2984" i="6"/>
  <c r="P2986" i="6"/>
  <c r="P2985" i="6"/>
  <c r="P2984" i="6"/>
  <c r="P2983" i="6"/>
  <c r="P2982" i="6"/>
  <c r="Q2982" i="6"/>
  <c r="H3162" i="6"/>
  <c r="H3100" i="6" s="1"/>
  <c r="F3162" i="6"/>
  <c r="G3162" i="6"/>
  <c r="G3100" i="6" s="1"/>
  <c r="O2643" i="6"/>
  <c r="O2572" i="6" s="1"/>
  <c r="K2643" i="6"/>
  <c r="K2572" i="6" s="1"/>
  <c r="M2643" i="6"/>
  <c r="M2572" i="6" s="1"/>
  <c r="J2641" i="6"/>
  <c r="Z483" i="6"/>
  <c r="S484" i="6"/>
  <c r="T484" i="6" s="1"/>
  <c r="W484" i="6" s="1"/>
  <c r="X484" i="6" s="1"/>
  <c r="H484" i="6"/>
  <c r="H476" i="6"/>
  <c r="J476" i="6" s="1"/>
  <c r="I484" i="6" s="1"/>
  <c r="N484" i="6" s="1"/>
  <c r="O484" i="6" s="1"/>
  <c r="P484" i="6" s="1"/>
  <c r="Q484" i="6" s="1"/>
  <c r="J469" i="6"/>
  <c r="K469" i="6" s="1"/>
  <c r="H469" i="6"/>
  <c r="O469" i="6" s="1"/>
  <c r="H467" i="6"/>
  <c r="O467" i="6" s="1"/>
  <c r="G488" i="6" s="1"/>
  <c r="H464" i="6"/>
  <c r="H462" i="6"/>
  <c r="H461" i="6"/>
  <c r="I494" i="6"/>
  <c r="J494" i="6" s="1"/>
  <c r="H489" i="6"/>
  <c r="G468" i="6"/>
  <c r="H468" i="6" s="1"/>
  <c r="O468" i="6" s="1"/>
  <c r="G489" i="6" s="1"/>
  <c r="T483" i="6"/>
  <c r="W483" i="6" s="1"/>
  <c r="X483" i="6" s="1"/>
  <c r="H483" i="6"/>
  <c r="H475" i="6"/>
  <c r="J475" i="6" s="1"/>
  <c r="I483" i="6" s="1"/>
  <c r="N483" i="6" s="1"/>
  <c r="O483" i="6" s="1"/>
  <c r="P483" i="6" s="1"/>
  <c r="Q483" i="6" s="1"/>
  <c r="P2999" i="6" l="1"/>
  <c r="U3191" i="6"/>
  <c r="V3191" i="6" s="1"/>
  <c r="T3191" i="6"/>
  <c r="H3556" i="6"/>
  <c r="I3556" i="6" s="1"/>
  <c r="F3100" i="6"/>
  <c r="F3557" i="6"/>
  <c r="J2643" i="6"/>
  <c r="J2572" i="6" s="1"/>
  <c r="J2574" i="6"/>
  <c r="K483" i="6"/>
  <c r="L483" i="6" s="1"/>
  <c r="AA483" i="6" s="1"/>
  <c r="K484" i="6"/>
  <c r="L484" i="6" s="1"/>
  <c r="AA484" i="6" s="1"/>
  <c r="J468" i="6"/>
  <c r="K468" i="6" s="1"/>
  <c r="I489" i="6"/>
  <c r="K489" i="6" s="1"/>
  <c r="S711" i="6"/>
  <c r="S715" i="6" s="1"/>
  <c r="O3556" i="6" l="1"/>
  <c r="J3556" i="6"/>
  <c r="H3557" i="6"/>
  <c r="I3557" i="6" s="1"/>
  <c r="H488" i="6"/>
  <c r="I488" i="6" s="1"/>
  <c r="K488" i="6" s="1"/>
  <c r="S482" i="6"/>
  <c r="T482" i="6" s="1"/>
  <c r="W482" i="6" s="1"/>
  <c r="X482" i="6" s="1"/>
  <c r="S481" i="6"/>
  <c r="T481" i="6" s="1"/>
  <c r="W481" i="6" s="1"/>
  <c r="X481" i="6" s="1"/>
  <c r="S480" i="6"/>
  <c r="T480" i="6" s="1"/>
  <c r="W480" i="6" s="1"/>
  <c r="X480" i="6" s="1"/>
  <c r="I493" i="6"/>
  <c r="H482" i="6"/>
  <c r="K482" i="6" s="1"/>
  <c r="I492" i="6"/>
  <c r="H481" i="6"/>
  <c r="K481" i="6" s="1"/>
  <c r="H480" i="6"/>
  <c r="H474" i="6"/>
  <c r="J474" i="6" s="1"/>
  <c r="H473" i="6"/>
  <c r="J473" i="6" s="1"/>
  <c r="I481" i="6" s="1"/>
  <c r="N481" i="6" s="1"/>
  <c r="O481" i="6" s="1"/>
  <c r="P481" i="6" s="1"/>
  <c r="Q481" i="6" s="1"/>
  <c r="H472" i="6"/>
  <c r="J472" i="6" s="1"/>
  <c r="I480" i="6" s="1"/>
  <c r="N480" i="6" s="1"/>
  <c r="O480" i="6" s="1"/>
  <c r="P480" i="6" s="1"/>
  <c r="Q480" i="6" s="1"/>
  <c r="J467" i="6"/>
  <c r="K467" i="6" s="1"/>
  <c r="J464" i="6"/>
  <c r="K464" i="6" s="1"/>
  <c r="J462" i="6"/>
  <c r="K462" i="6" s="1"/>
  <c r="J461" i="6"/>
  <c r="K461" i="6" s="1"/>
  <c r="O3557" i="6" l="1"/>
  <c r="J3557" i="6"/>
  <c r="I482" i="6"/>
  <c r="N482" i="6" s="1"/>
  <c r="O482" i="6" s="1"/>
  <c r="P482" i="6" s="1"/>
  <c r="Q482" i="6" s="1"/>
  <c r="K480" i="6"/>
  <c r="L480" i="6" s="1"/>
  <c r="G492" i="6"/>
  <c r="J492" i="6" s="1"/>
  <c r="L481" i="6"/>
  <c r="G493" i="6"/>
  <c r="J493" i="6" s="1"/>
  <c r="L482" i="6"/>
  <c r="AA482" i="6" s="1"/>
  <c r="M462" i="8"/>
  <c r="O462" i="8" s="1"/>
  <c r="T462" i="8" s="1"/>
  <c r="I472" i="8"/>
  <c r="F472" i="8"/>
  <c r="I471" i="8"/>
  <c r="F471" i="8"/>
  <c r="F470" i="8"/>
  <c r="I470" i="8"/>
  <c r="E472" i="8"/>
  <c r="G469" i="8"/>
  <c r="H469" i="8" s="1"/>
  <c r="J469" i="8" s="1"/>
  <c r="N465" i="8"/>
  <c r="N464" i="8"/>
  <c r="N463" i="8"/>
  <c r="L465" i="8"/>
  <c r="L464" i="8"/>
  <c r="L463" i="8"/>
  <c r="F465" i="8"/>
  <c r="Q465" i="8" s="1"/>
  <c r="R465" i="8" s="1"/>
  <c r="I465" i="8"/>
  <c r="I464" i="8"/>
  <c r="I463" i="8"/>
  <c r="E465" i="8"/>
  <c r="H593" i="8"/>
  <c r="H595" i="8"/>
  <c r="H602" i="8" s="1"/>
  <c r="I602" i="8" s="1"/>
  <c r="J602" i="8" s="1"/>
  <c r="H601" i="8"/>
  <c r="I601" i="8" s="1"/>
  <c r="M465" i="8" l="1"/>
  <c r="O465" i="8" s="1"/>
  <c r="G472" i="8"/>
  <c r="H472" i="8" s="1"/>
  <c r="J472" i="8" s="1"/>
  <c r="G470" i="8"/>
  <c r="H470" i="8" s="1"/>
  <c r="J470" i="8" s="1"/>
  <c r="G471" i="8"/>
  <c r="H471" i="8" s="1"/>
  <c r="J471" i="8" s="1"/>
  <c r="F463" i="8"/>
  <c r="G462" i="8"/>
  <c r="F464" i="8"/>
  <c r="D1228" i="4"/>
  <c r="D1229" i="4" s="1"/>
  <c r="K1229" i="4"/>
  <c r="N1221" i="4"/>
  <c r="F1224" i="4"/>
  <c r="E1224" i="4"/>
  <c r="O1208" i="4"/>
  <c r="K1208" i="4"/>
  <c r="L1208" i="4" s="1"/>
  <c r="O1207" i="4"/>
  <c r="K1207" i="4"/>
  <c r="L1207" i="4" s="1"/>
  <c r="O1206" i="4"/>
  <c r="K1206" i="4"/>
  <c r="L1206" i="4" s="1"/>
  <c r="O1205" i="4"/>
  <c r="F1232" i="4"/>
  <c r="K1228" i="4"/>
  <c r="K1227" i="4"/>
  <c r="H1227" i="4"/>
  <c r="M1227" i="4" s="1"/>
  <c r="E561" i="4"/>
  <c r="M463" i="8" l="1"/>
  <c r="O463" i="8" s="1"/>
  <c r="Q463" i="8"/>
  <c r="R463" i="8" s="1"/>
  <c r="M464" i="8"/>
  <c r="O464" i="8" s="1"/>
  <c r="Q464" i="8"/>
  <c r="R464" i="8" s="1"/>
  <c r="H462" i="8"/>
  <c r="J462" i="8" s="1"/>
  <c r="G465" i="8"/>
  <c r="H465" i="8" s="1"/>
  <c r="J465" i="8" s="1"/>
  <c r="G464" i="8"/>
  <c r="H464" i="8" s="1"/>
  <c r="J464" i="8" s="1"/>
  <c r="G463" i="8"/>
  <c r="H463" i="8" s="1"/>
  <c r="J463" i="8" s="1"/>
  <c r="H1228" i="4"/>
  <c r="M1228" i="4" s="1"/>
  <c r="H1229" i="4"/>
  <c r="M1229" i="4" s="1"/>
  <c r="G1229" i="4"/>
  <c r="L1229" i="4" s="1"/>
  <c r="G1228" i="4"/>
  <c r="L1228" i="4" s="1"/>
  <c r="G1227" i="4"/>
  <c r="L1227" i="4" s="1"/>
  <c r="E1243" i="4"/>
  <c r="G1243" i="4" s="1"/>
  <c r="I1243" i="4" s="1"/>
  <c r="J1243" i="4" s="1"/>
  <c r="M1243" i="4" s="1"/>
  <c r="E1242" i="4"/>
  <c r="G1242" i="4" s="1"/>
  <c r="I1242" i="4" s="1"/>
  <c r="J1242" i="4" s="1"/>
  <c r="M1242" i="4" s="1"/>
  <c r="E42" i="9"/>
  <c r="L43" i="9"/>
  <c r="L42" i="9"/>
  <c r="K1205" i="4" l="1"/>
  <c r="L1205" i="4" s="1"/>
  <c r="D1224" i="4"/>
  <c r="D1223" i="4"/>
  <c r="G1224" i="4"/>
  <c r="I1224" i="4" l="1"/>
  <c r="J1224" i="4" s="1"/>
  <c r="G1223" i="4"/>
  <c r="I1223" i="4" s="1"/>
  <c r="F1222" i="4"/>
  <c r="E1222" i="4"/>
  <c r="G1221" i="4"/>
  <c r="I1221" i="4" s="1"/>
  <c r="G1239" i="4"/>
  <c r="K2169" i="6"/>
  <c r="J2169" i="6"/>
  <c r="I2169" i="6"/>
  <c r="H2169" i="6"/>
  <c r="G2169" i="6"/>
  <c r="F2169" i="6"/>
  <c r="M2193" i="6"/>
  <c r="M2190" i="6"/>
  <c r="M2192" i="6"/>
  <c r="M2191" i="6"/>
  <c r="M2187" i="6"/>
  <c r="M2186" i="6"/>
  <c r="M2185" i="6"/>
  <c r="M2180" i="6"/>
  <c r="M2184" i="6"/>
  <c r="F2165" i="6" l="1"/>
  <c r="K1224" i="4"/>
  <c r="G1222" i="4"/>
  <c r="I1222" i="4" s="1"/>
  <c r="J1222" i="4" s="1"/>
  <c r="J1223" i="4"/>
  <c r="K1223" i="4"/>
  <c r="J1221" i="4"/>
  <c r="K1221" i="4"/>
  <c r="F2164" i="6"/>
  <c r="F2166" i="6"/>
  <c r="H2540" i="6"/>
  <c r="H2545" i="6"/>
  <c r="H2544" i="6"/>
  <c r="H2543" i="6"/>
  <c r="H2542" i="6"/>
  <c r="H2541" i="6"/>
  <c r="H2528" i="6"/>
  <c r="H2529" i="6"/>
  <c r="H2527" i="6"/>
  <c r="H2526" i="6"/>
  <c r="H2525" i="6"/>
  <c r="H2524" i="6"/>
  <c r="F2287" i="6"/>
  <c r="E2289" i="6"/>
  <c r="G2289" i="6" s="1"/>
  <c r="J2289" i="6" s="1"/>
  <c r="I2287" i="6"/>
  <c r="I2288" i="6" s="1"/>
  <c r="I2289" i="6" s="1"/>
  <c r="G2288" i="6"/>
  <c r="J2288" i="6" s="1"/>
  <c r="F2288" i="6"/>
  <c r="F2286" i="6"/>
  <c r="G2286" i="6"/>
  <c r="J2286" i="6" s="1"/>
  <c r="K2286" i="6" s="1"/>
  <c r="E2282" i="6"/>
  <c r="E2281" i="6"/>
  <c r="E2280" i="6"/>
  <c r="G2315" i="6"/>
  <c r="G2314" i="6"/>
  <c r="G2313" i="6"/>
  <c r="G2312" i="6"/>
  <c r="G2311" i="6"/>
  <c r="H2311" i="6" s="1"/>
  <c r="G2310" i="6"/>
  <c r="H2310" i="6" s="1"/>
  <c r="G2302" i="6"/>
  <c r="F2301" i="6"/>
  <c r="G2301" i="6" s="1"/>
  <c r="F2300" i="6"/>
  <c r="G2300" i="6" s="1"/>
  <c r="H2300" i="6" s="1"/>
  <c r="F2299" i="6"/>
  <c r="G2299" i="6" s="1"/>
  <c r="J2280" i="6"/>
  <c r="J2281" i="6" s="1"/>
  <c r="J2282" i="6" s="1"/>
  <c r="G2282" i="6"/>
  <c r="G2281" i="6"/>
  <c r="G2280" i="6"/>
  <c r="G2279" i="6"/>
  <c r="E2279" i="6"/>
  <c r="E2315" i="6"/>
  <c r="E2314" i="6"/>
  <c r="E2313" i="6"/>
  <c r="E2312" i="6"/>
  <c r="E2302" i="6"/>
  <c r="E2301" i="6"/>
  <c r="K1222" i="4" l="1"/>
  <c r="F2167" i="6"/>
  <c r="H2546" i="6"/>
  <c r="H2281" i="6"/>
  <c r="K2281" i="6" s="1"/>
  <c r="L2281" i="6" s="1"/>
  <c r="H2280" i="6"/>
  <c r="K2280" i="6" s="1"/>
  <c r="M2280" i="6" s="1"/>
  <c r="H2314" i="6"/>
  <c r="H2530" i="6"/>
  <c r="H2315" i="6"/>
  <c r="G2287" i="6"/>
  <c r="J2287" i="6" s="1"/>
  <c r="K2287" i="6" s="1"/>
  <c r="F2289" i="6"/>
  <c r="K2288" i="6"/>
  <c r="K2289" i="6"/>
  <c r="H2312" i="6"/>
  <c r="H2279" i="6"/>
  <c r="H2302" i="6"/>
  <c r="H2313" i="6"/>
  <c r="H2282" i="6"/>
  <c r="K2282" i="6" s="1"/>
  <c r="M2282" i="6" s="1"/>
  <c r="H2301" i="6"/>
  <c r="F602" i="6"/>
  <c r="E599" i="6"/>
  <c r="D599" i="6"/>
  <c r="M2281" i="6" l="1"/>
  <c r="L2282" i="6"/>
  <c r="L2280" i="6"/>
  <c r="F599" i="6"/>
  <c r="G602" i="6" s="1"/>
  <c r="H602" i="6" s="1"/>
  <c r="E2367" i="6"/>
  <c r="I2368" i="6"/>
  <c r="G2370" i="6" s="1"/>
  <c r="P2366" i="6"/>
  <c r="L2366" i="6"/>
  <c r="G1309" i="6"/>
  <c r="G1313" i="6"/>
  <c r="G2371" i="6" l="1"/>
  <c r="E2364" i="6"/>
  <c r="G1315" i="6" l="1"/>
  <c r="G1314" i="6"/>
  <c r="I596" i="6" l="1"/>
  <c r="H596" i="6"/>
  <c r="I2434" i="6"/>
  <c r="I2433" i="6"/>
  <c r="I2432" i="6"/>
  <c r="I2435" i="6" l="1"/>
  <c r="O3570" i="6"/>
  <c r="P3518" i="6"/>
  <c r="F3525" i="6"/>
  <c r="J3519" i="6"/>
  <c r="K3519" i="6" s="1"/>
  <c r="J3514" i="6"/>
  <c r="K3514" i="6" s="1"/>
  <c r="O3519" i="6"/>
  <c r="O3520" i="6" s="1"/>
  <c r="D3526" i="6"/>
  <c r="D3527" i="6" s="1"/>
  <c r="J3527" i="6" s="1"/>
  <c r="K3527" i="6" s="1"/>
  <c r="F3528" i="6"/>
  <c r="F3527" i="6"/>
  <c r="F3526" i="6"/>
  <c r="F3524" i="6"/>
  <c r="F3522" i="6"/>
  <c r="F3521" i="6"/>
  <c r="F3520" i="6"/>
  <c r="D3520" i="6"/>
  <c r="D3521" i="6" s="1"/>
  <c r="J3521" i="6" s="1"/>
  <c r="K3521" i="6" s="1"/>
  <c r="D3515" i="6"/>
  <c r="D3516" i="6" s="1"/>
  <c r="D3517" i="6" s="1"/>
  <c r="J3517" i="6" s="1"/>
  <c r="K3517" i="6" s="1"/>
  <c r="O3563" i="6"/>
  <c r="O3564" i="6"/>
  <c r="O3565" i="6"/>
  <c r="O3567" i="6"/>
  <c r="O3568" i="6"/>
  <c r="T3583" i="6"/>
  <c r="J3581" i="6"/>
  <c r="S3587" i="6"/>
  <c r="L3601" i="6"/>
  <c r="F3601" i="6"/>
  <c r="R3600" i="6"/>
  <c r="L3600" i="6"/>
  <c r="F3600" i="6"/>
  <c r="R3599" i="6"/>
  <c r="L3599" i="6"/>
  <c r="F3599" i="6"/>
  <c r="D3599" i="6"/>
  <c r="D3600" i="6" s="1"/>
  <c r="E3598" i="6"/>
  <c r="D3598" i="6"/>
  <c r="R3597" i="6"/>
  <c r="L3597" i="6"/>
  <c r="F3597" i="6"/>
  <c r="E3597" i="6"/>
  <c r="E3599" i="6" s="1"/>
  <c r="R3595" i="6"/>
  <c r="L3595" i="6"/>
  <c r="F3595" i="6"/>
  <c r="R3594" i="6"/>
  <c r="L3594" i="6"/>
  <c r="F3594" i="6"/>
  <c r="F3598" i="6" s="1"/>
  <c r="R3593" i="6"/>
  <c r="L3593" i="6"/>
  <c r="F3593" i="6"/>
  <c r="D3593" i="6"/>
  <c r="D3594" i="6" s="1"/>
  <c r="D3595" i="6" s="1"/>
  <c r="R3592" i="6"/>
  <c r="L3592" i="6"/>
  <c r="F3592" i="6"/>
  <c r="E3592" i="6"/>
  <c r="E3593" i="6" s="1"/>
  <c r="E3594" i="6" s="1"/>
  <c r="E3588" i="6"/>
  <c r="E3589" i="6" s="1"/>
  <c r="E3590" i="6" s="1"/>
  <c r="D3588" i="6"/>
  <c r="D3589" i="6" s="1"/>
  <c r="J3583" i="6"/>
  <c r="O3581" i="6"/>
  <c r="E3580" i="6"/>
  <c r="E3581" i="6" s="1"/>
  <c r="Q3626" i="6"/>
  <c r="D3626" i="6"/>
  <c r="E3626" i="6"/>
  <c r="F3629" i="6"/>
  <c r="V3608" i="6"/>
  <c r="S3615" i="6"/>
  <c r="S3616" i="6" s="1"/>
  <c r="S3617" i="6" s="1"/>
  <c r="S3618" i="6" s="1"/>
  <c r="M3615" i="6"/>
  <c r="R3569" i="6" s="1"/>
  <c r="W3569" i="6" s="1"/>
  <c r="G3615" i="6"/>
  <c r="G3625" i="6" s="1"/>
  <c r="G3626" i="6" s="1"/>
  <c r="O3609" i="6"/>
  <c r="L3629" i="6"/>
  <c r="R3628" i="6"/>
  <c r="L3628" i="6"/>
  <c r="F3628" i="6"/>
  <c r="R3627" i="6"/>
  <c r="L3627" i="6"/>
  <c r="F3627" i="6"/>
  <c r="D3627" i="6"/>
  <c r="D3628" i="6" s="1"/>
  <c r="R3625" i="6"/>
  <c r="Q3625" i="6"/>
  <c r="Q3627" i="6" s="1"/>
  <c r="Q3628" i="6" s="1"/>
  <c r="Q3629" i="6" s="1"/>
  <c r="L3625" i="6"/>
  <c r="F3625" i="6"/>
  <c r="E3625" i="6"/>
  <c r="E3627" i="6" s="1"/>
  <c r="E3628" i="6" s="1"/>
  <c r="E3629" i="6" s="1"/>
  <c r="R3623" i="6"/>
  <c r="L3623" i="6"/>
  <c r="F3623" i="6"/>
  <c r="R3622" i="6"/>
  <c r="L3622" i="6"/>
  <c r="F3622" i="6"/>
  <c r="R3621" i="6"/>
  <c r="L3621" i="6"/>
  <c r="F3621" i="6"/>
  <c r="D3621" i="6"/>
  <c r="R3620" i="6"/>
  <c r="Q3620" i="6"/>
  <c r="Q3621" i="6" s="1"/>
  <c r="Q3622" i="6" s="1"/>
  <c r="Q3623" i="6" s="1"/>
  <c r="L3620" i="6"/>
  <c r="F3620" i="6"/>
  <c r="E3620" i="6"/>
  <c r="Q3616" i="6"/>
  <c r="Q3617" i="6" s="1"/>
  <c r="Q3618" i="6" s="1"/>
  <c r="E3616" i="6"/>
  <c r="E3617" i="6" s="1"/>
  <c r="E3618" i="6" s="1"/>
  <c r="D3616" i="6"/>
  <c r="D3617" i="6" s="1"/>
  <c r="J3611" i="6"/>
  <c r="E3609" i="6"/>
  <c r="E3610" i="6" s="1"/>
  <c r="J3609" i="6"/>
  <c r="K3615" i="6" s="1"/>
  <c r="V3607" i="6" s="1"/>
  <c r="I3382" i="6"/>
  <c r="S3571" i="6" l="1"/>
  <c r="X3571" i="6" s="1"/>
  <c r="S3570" i="6"/>
  <c r="M3592" i="6"/>
  <c r="M3593" i="6" s="1"/>
  <c r="M3594" i="6" s="1"/>
  <c r="M3595" i="6" s="1"/>
  <c r="R3571" i="6"/>
  <c r="W3571" i="6" s="1"/>
  <c r="R3570" i="6"/>
  <c r="G3588" i="6"/>
  <c r="G3589" i="6" s="1"/>
  <c r="G3590" i="6" s="1"/>
  <c r="Q3570" i="6"/>
  <c r="Q3571" i="6"/>
  <c r="V3571" i="6" s="1"/>
  <c r="Q3592" i="6"/>
  <c r="Q3593" i="6" s="1"/>
  <c r="Q3594" i="6" s="1"/>
  <c r="Q3595" i="6" s="1"/>
  <c r="G3514" i="6"/>
  <c r="G3515" i="6" s="1"/>
  <c r="G3516" i="6" s="1"/>
  <c r="G3517" i="6" s="1"/>
  <c r="J3524" i="6"/>
  <c r="K3524" i="6" s="1"/>
  <c r="J3526" i="6"/>
  <c r="K3526" i="6" s="1"/>
  <c r="J3520" i="6"/>
  <c r="K3520" i="6" s="1"/>
  <c r="J3515" i="6"/>
  <c r="K3515" i="6" s="1"/>
  <c r="J3516" i="6"/>
  <c r="K3516" i="6" s="1"/>
  <c r="D3525" i="6"/>
  <c r="J3525" i="6" s="1"/>
  <c r="K3525" i="6" s="1"/>
  <c r="H3587" i="6"/>
  <c r="D3522" i="6"/>
  <c r="J3522" i="6" s="1"/>
  <c r="K3522" i="6" s="1"/>
  <c r="D3528" i="6"/>
  <c r="J3528" i="6" s="1"/>
  <c r="K3528" i="6" s="1"/>
  <c r="H3626" i="6"/>
  <c r="J3626" i="6" s="1"/>
  <c r="S3597" i="6"/>
  <c r="S3598" i="6" s="1"/>
  <c r="G3627" i="6"/>
  <c r="G3628" i="6" s="1"/>
  <c r="G3629" i="6" s="1"/>
  <c r="S3569" i="6"/>
  <c r="X3569" i="6" s="1"/>
  <c r="G3597" i="6"/>
  <c r="G3599" i="6" s="1"/>
  <c r="G3600" i="6" s="1"/>
  <c r="G3601" i="6" s="1"/>
  <c r="E3600" i="6"/>
  <c r="E3601" i="6" s="1"/>
  <c r="K3597" i="6"/>
  <c r="K3592" i="6"/>
  <c r="K3588" i="6"/>
  <c r="E3595" i="6"/>
  <c r="D3590" i="6"/>
  <c r="D3601" i="6"/>
  <c r="M3588" i="6"/>
  <c r="M3589" i="6" s="1"/>
  <c r="M3590" i="6" s="1"/>
  <c r="G3592" i="6"/>
  <c r="G3593" i="6" s="1"/>
  <c r="G3594" i="6" s="1"/>
  <c r="G3595" i="6" s="1"/>
  <c r="M3597" i="6"/>
  <c r="S3592" i="6"/>
  <c r="S3593" i="6" s="1"/>
  <c r="S3594" i="6" s="1"/>
  <c r="S3595" i="6" s="1"/>
  <c r="S3588" i="6"/>
  <c r="S3589" i="6" s="1"/>
  <c r="S3590" i="6" s="1"/>
  <c r="V3609" i="6"/>
  <c r="M3620" i="6"/>
  <c r="M3621" i="6" s="1"/>
  <c r="M3622" i="6" s="1"/>
  <c r="M3623" i="6" s="1"/>
  <c r="Q3569" i="6"/>
  <c r="V3569" i="6" s="1"/>
  <c r="M3616" i="6"/>
  <c r="M3617" i="6" s="1"/>
  <c r="M3618" i="6" s="1"/>
  <c r="M3625" i="6"/>
  <c r="G3616" i="6"/>
  <c r="G3617" i="6" s="1"/>
  <c r="G3618" i="6" s="1"/>
  <c r="G3620" i="6"/>
  <c r="G3621" i="6" s="1"/>
  <c r="G3622" i="6" s="1"/>
  <c r="G3623" i="6" s="1"/>
  <c r="H3625" i="6"/>
  <c r="J3625" i="6" s="1"/>
  <c r="D3618" i="6"/>
  <c r="D3629" i="6"/>
  <c r="K3625" i="6"/>
  <c r="K3626" i="6" s="1"/>
  <c r="K3620" i="6"/>
  <c r="K3616" i="6"/>
  <c r="H3615" i="6"/>
  <c r="S3620" i="6"/>
  <c r="S3621" i="6" s="1"/>
  <c r="S3622" i="6" s="1"/>
  <c r="S3623" i="6" s="1"/>
  <c r="D3622" i="6"/>
  <c r="E3621" i="6"/>
  <c r="E3622" i="6" s="1"/>
  <c r="E3623" i="6" s="1"/>
  <c r="S3625" i="6"/>
  <c r="F114" i="8"/>
  <c r="G114" i="8" s="1"/>
  <c r="H114" i="8" s="1"/>
  <c r="L114" i="8"/>
  <c r="N114" i="8"/>
  <c r="J114" i="8"/>
  <c r="I114" i="8"/>
  <c r="H2299" i="6"/>
  <c r="M1266" i="6"/>
  <c r="M1267" i="6"/>
  <c r="G1318" i="6"/>
  <c r="G1312" i="6"/>
  <c r="X3570" i="6" l="1"/>
  <c r="T3571" i="6"/>
  <c r="W3570" i="6"/>
  <c r="H3588" i="6"/>
  <c r="J3588" i="6" s="1"/>
  <c r="N3588" i="6" s="1"/>
  <c r="P3588" i="6" s="1"/>
  <c r="H3589" i="6"/>
  <c r="J3589" i="6" s="1"/>
  <c r="H3590" i="6"/>
  <c r="J3590" i="6" s="1"/>
  <c r="V3570" i="6"/>
  <c r="Q3597" i="6"/>
  <c r="Q3598" i="6" s="1"/>
  <c r="H3514" i="6"/>
  <c r="Q3588" i="6"/>
  <c r="Q3589" i="6" s="1"/>
  <c r="Q3590" i="6" s="1"/>
  <c r="G3524" i="6"/>
  <c r="H3524" i="6" s="1"/>
  <c r="G3519" i="6"/>
  <c r="H3519" i="6" s="1"/>
  <c r="H3517" i="6"/>
  <c r="H3515" i="6"/>
  <c r="H3516" i="6"/>
  <c r="H3595" i="6"/>
  <c r="J3595" i="6" s="1"/>
  <c r="T3570" i="6"/>
  <c r="S3599" i="6"/>
  <c r="S3600" i="6" s="1"/>
  <c r="S3601" i="6" s="1"/>
  <c r="M3627" i="6"/>
  <c r="M3628" i="6" s="1"/>
  <c r="M3629" i="6" s="1"/>
  <c r="M3626" i="6"/>
  <c r="N3626" i="6" s="1"/>
  <c r="P3626" i="6" s="1"/>
  <c r="H3599" i="6"/>
  <c r="J3599" i="6" s="1"/>
  <c r="S3627" i="6"/>
  <c r="S3628" i="6" s="1"/>
  <c r="S3629" i="6" s="1"/>
  <c r="S3626" i="6"/>
  <c r="G3598" i="6"/>
  <c r="H3598" i="6" s="1"/>
  <c r="J3598" i="6" s="1"/>
  <c r="H3597" i="6"/>
  <c r="J3597" i="6" s="1"/>
  <c r="N3597" i="6" s="1"/>
  <c r="P3597" i="6" s="1"/>
  <c r="H3594" i="6"/>
  <c r="J3594" i="6" s="1"/>
  <c r="H3593" i="6"/>
  <c r="J3593" i="6" s="1"/>
  <c r="J3587" i="6"/>
  <c r="N3587" i="6" s="1"/>
  <c r="K3589" i="6"/>
  <c r="M3598" i="6"/>
  <c r="M3599" i="6"/>
  <c r="M3600" i="6" s="1"/>
  <c r="M3601" i="6" s="1"/>
  <c r="H3600" i="6"/>
  <c r="J3600" i="6" s="1"/>
  <c r="K3593" i="6"/>
  <c r="H3592" i="6"/>
  <c r="J3592" i="6" s="1"/>
  <c r="N3592" i="6" s="1"/>
  <c r="P3592" i="6" s="1"/>
  <c r="T3592" i="6" s="1"/>
  <c r="K3598" i="6"/>
  <c r="K3599" i="6"/>
  <c r="H3601" i="6"/>
  <c r="J3601" i="6" s="1"/>
  <c r="Y3569" i="6"/>
  <c r="J3615" i="6"/>
  <c r="N3615" i="6" s="1"/>
  <c r="H3627" i="6"/>
  <c r="J3627" i="6" s="1"/>
  <c r="H3616" i="6"/>
  <c r="J3616" i="6" s="1"/>
  <c r="N3616" i="6" s="1"/>
  <c r="P3616" i="6" s="1"/>
  <c r="T3616" i="6" s="1"/>
  <c r="T3569" i="6"/>
  <c r="H3620" i="6"/>
  <c r="J3620" i="6" s="1"/>
  <c r="N3620" i="6" s="1"/>
  <c r="P3620" i="6" s="1"/>
  <c r="T3620" i="6" s="1"/>
  <c r="H3617" i="6"/>
  <c r="J3617" i="6" s="1"/>
  <c r="H3628" i="6"/>
  <c r="J3628" i="6" s="1"/>
  <c r="H3629" i="6"/>
  <c r="J3629" i="6" s="1"/>
  <c r="H3618" i="6"/>
  <c r="J3618" i="6" s="1"/>
  <c r="H3622" i="6"/>
  <c r="J3622" i="6" s="1"/>
  <c r="D3623" i="6"/>
  <c r="H3623" i="6" s="1"/>
  <c r="J3623" i="6" s="1"/>
  <c r="N3625" i="6"/>
  <c r="P3625" i="6" s="1"/>
  <c r="T3625" i="6" s="1"/>
  <c r="K3627" i="6"/>
  <c r="K3617" i="6"/>
  <c r="H3621" i="6"/>
  <c r="J3621" i="6" s="1"/>
  <c r="K3621" i="6"/>
  <c r="L2753" i="6"/>
  <c r="P2753" i="6" s="1"/>
  <c r="Q2753" i="6" s="1"/>
  <c r="T2753" i="6" s="1"/>
  <c r="I2753" i="6"/>
  <c r="J2753" i="6" s="1"/>
  <c r="K2753" i="6" s="1"/>
  <c r="R3824" i="6"/>
  <c r="R3827" i="6"/>
  <c r="R3822" i="6"/>
  <c r="R3821" i="6"/>
  <c r="R3820" i="6"/>
  <c r="R3819" i="6"/>
  <c r="O22" i="10"/>
  <c r="N22" i="10"/>
  <c r="K3639" i="6"/>
  <c r="J3635" i="6"/>
  <c r="J3637" i="6" s="1"/>
  <c r="K3643" i="6" s="1"/>
  <c r="K3653" i="6" s="1"/>
  <c r="K3654" i="6" s="1"/>
  <c r="E3637" i="6"/>
  <c r="E3638" i="6" s="1"/>
  <c r="S3643" i="6"/>
  <c r="S3653" i="6" s="1"/>
  <c r="S3654" i="6" s="1"/>
  <c r="S3655" i="6" s="1"/>
  <c r="S3656" i="6" s="1"/>
  <c r="M3643" i="6"/>
  <c r="M3653" i="6" s="1"/>
  <c r="M3654" i="6" s="1"/>
  <c r="M3655" i="6" s="1"/>
  <c r="M3656" i="6" s="1"/>
  <c r="G3643" i="6"/>
  <c r="G3653" i="6" s="1"/>
  <c r="G3654" i="6" s="1"/>
  <c r="G3655" i="6" s="1"/>
  <c r="G3656" i="6" s="1"/>
  <c r="L3656" i="6"/>
  <c r="R3655" i="6"/>
  <c r="L3655" i="6"/>
  <c r="F3655" i="6"/>
  <c r="R3654" i="6"/>
  <c r="L3654" i="6"/>
  <c r="F3654" i="6"/>
  <c r="D3654" i="6"/>
  <c r="D3655" i="6" s="1"/>
  <c r="D3656" i="6" s="1"/>
  <c r="R3653" i="6"/>
  <c r="Q3653" i="6"/>
  <c r="Q3654" i="6" s="1"/>
  <c r="Q3655" i="6" s="1"/>
  <c r="Q3656" i="6" s="1"/>
  <c r="L3653" i="6"/>
  <c r="F3653" i="6"/>
  <c r="E3653" i="6"/>
  <c r="E3654" i="6" s="1"/>
  <c r="R3651" i="6"/>
  <c r="L3651" i="6"/>
  <c r="F3651" i="6"/>
  <c r="R3650" i="6"/>
  <c r="L3650" i="6"/>
  <c r="F3650" i="6"/>
  <c r="R3649" i="6"/>
  <c r="L3649" i="6"/>
  <c r="F3649" i="6"/>
  <c r="D3649" i="6"/>
  <c r="D3650" i="6" s="1"/>
  <c r="D3651" i="6" s="1"/>
  <c r="R3648" i="6"/>
  <c r="Q3648" i="6"/>
  <c r="Q3649" i="6" s="1"/>
  <c r="Q3650" i="6" s="1"/>
  <c r="L3648" i="6"/>
  <c r="F3648" i="6"/>
  <c r="E3648" i="6"/>
  <c r="E3649" i="6" s="1"/>
  <c r="Q3644" i="6"/>
  <c r="Q3645" i="6" s="1"/>
  <c r="E3644" i="6"/>
  <c r="E3645" i="6" s="1"/>
  <c r="E3646" i="6" s="1"/>
  <c r="D3644" i="6"/>
  <c r="D3645" i="6" s="1"/>
  <c r="Y3571" i="6" l="1"/>
  <c r="Y3570" i="6"/>
  <c r="Q3599" i="6"/>
  <c r="Q3600" i="6" s="1"/>
  <c r="Q3601" i="6" s="1"/>
  <c r="T3597" i="6"/>
  <c r="T3588" i="6"/>
  <c r="G3525" i="6"/>
  <c r="H3525" i="6" s="1"/>
  <c r="G3526" i="6"/>
  <c r="H3526" i="6" s="1"/>
  <c r="G3520" i="6"/>
  <c r="H3520" i="6" s="1"/>
  <c r="T3626" i="6"/>
  <c r="N3599" i="6"/>
  <c r="P3599" i="6" s="1"/>
  <c r="K3600" i="6"/>
  <c r="N3598" i="6"/>
  <c r="P3598" i="6" s="1"/>
  <c r="T3598" i="6" s="1"/>
  <c r="N3589" i="6"/>
  <c r="P3589" i="6" s="1"/>
  <c r="T3589" i="6" s="1"/>
  <c r="K3590" i="6"/>
  <c r="N3590" i="6" s="1"/>
  <c r="P3590" i="6" s="1"/>
  <c r="T3590" i="6" s="1"/>
  <c r="P3587" i="6"/>
  <c r="T3587" i="6" s="1"/>
  <c r="N3593" i="6"/>
  <c r="P3593" i="6" s="1"/>
  <c r="T3593" i="6" s="1"/>
  <c r="K3594" i="6"/>
  <c r="P3579" i="6"/>
  <c r="Q3579" i="6" s="1"/>
  <c r="P3615" i="6"/>
  <c r="T3615" i="6" s="1"/>
  <c r="P3607" i="6"/>
  <c r="K3622" i="6"/>
  <c r="N3621" i="6"/>
  <c r="P3621" i="6" s="1"/>
  <c r="T3621" i="6" s="1"/>
  <c r="N3617" i="6"/>
  <c r="P3617" i="6" s="1"/>
  <c r="T3617" i="6" s="1"/>
  <c r="K3618" i="6"/>
  <c r="N3618" i="6" s="1"/>
  <c r="P3618" i="6" s="1"/>
  <c r="T3618" i="6" s="1"/>
  <c r="N3627" i="6"/>
  <c r="P3627" i="6" s="1"/>
  <c r="T3627" i="6" s="1"/>
  <c r="K3628" i="6"/>
  <c r="R3825" i="6"/>
  <c r="M2753" i="6"/>
  <c r="K3637" i="6"/>
  <c r="J3639" i="6"/>
  <c r="Q3568" i="6"/>
  <c r="V3568" i="6" s="1"/>
  <c r="R3568" i="6"/>
  <c r="W3568" i="6" s="1"/>
  <c r="S3568" i="6"/>
  <c r="X3568" i="6" s="1"/>
  <c r="K3644" i="6"/>
  <c r="K3645" i="6" s="1"/>
  <c r="K3646" i="6" s="1"/>
  <c r="K3648" i="6"/>
  <c r="K3649" i="6" s="1"/>
  <c r="K3650" i="6" s="1"/>
  <c r="K3651" i="6" s="1"/>
  <c r="S3648" i="6"/>
  <c r="S3649" i="6" s="1"/>
  <c r="S3650" i="6" s="1"/>
  <c r="S3651" i="6" s="1"/>
  <c r="S3644" i="6"/>
  <c r="S3645" i="6" s="1"/>
  <c r="S3646" i="6" s="1"/>
  <c r="M3648" i="6"/>
  <c r="M3649" i="6" s="1"/>
  <c r="M3650" i="6" s="1"/>
  <c r="M3651" i="6" s="1"/>
  <c r="M3644" i="6"/>
  <c r="M3645" i="6" s="1"/>
  <c r="M3646" i="6" s="1"/>
  <c r="H3643" i="6"/>
  <c r="J3643" i="6" s="1"/>
  <c r="N3643" i="6" s="1"/>
  <c r="P3643" i="6" s="1"/>
  <c r="T3643" i="6" s="1"/>
  <c r="G3648" i="6"/>
  <c r="G3649" i="6" s="1"/>
  <c r="G3650" i="6" s="1"/>
  <c r="G3651" i="6" s="1"/>
  <c r="G3644" i="6"/>
  <c r="G3645" i="6" s="1"/>
  <c r="G3646" i="6" s="1"/>
  <c r="H3653" i="6"/>
  <c r="J3653" i="6" s="1"/>
  <c r="N3653" i="6" s="1"/>
  <c r="P3653" i="6" s="1"/>
  <c r="T3653" i="6" s="1"/>
  <c r="H3654" i="6"/>
  <c r="J3654" i="6" s="1"/>
  <c r="N3654" i="6" s="1"/>
  <c r="P3654" i="6" s="1"/>
  <c r="T3654" i="6" s="1"/>
  <c r="E3655" i="6"/>
  <c r="H3655" i="6" s="1"/>
  <c r="Q3646" i="6"/>
  <c r="D3646" i="6"/>
  <c r="Q3651" i="6"/>
  <c r="E3650" i="6"/>
  <c r="K3655" i="6"/>
  <c r="I2598" i="6"/>
  <c r="I2576" i="6"/>
  <c r="M3831" i="6"/>
  <c r="L3831" i="6"/>
  <c r="R3818" i="6"/>
  <c r="R3816" i="6"/>
  <c r="R3817" i="6"/>
  <c r="T3599" i="6" l="1"/>
  <c r="G3527" i="6"/>
  <c r="H3527" i="6" s="1"/>
  <c r="G3521" i="6"/>
  <c r="H3521" i="6" s="1"/>
  <c r="I2577" i="6"/>
  <c r="I2599" i="6" s="1"/>
  <c r="I2579" i="6"/>
  <c r="P3581" i="6"/>
  <c r="Q3581" i="6"/>
  <c r="N3600" i="6"/>
  <c r="P3600" i="6" s="1"/>
  <c r="T3600" i="6" s="1"/>
  <c r="K3601" i="6"/>
  <c r="N3601" i="6" s="1"/>
  <c r="P3601" i="6" s="1"/>
  <c r="T3601" i="6" s="1"/>
  <c r="N3594" i="6"/>
  <c r="P3594" i="6" s="1"/>
  <c r="T3594" i="6" s="1"/>
  <c r="K3595" i="6"/>
  <c r="N3595" i="6" s="1"/>
  <c r="P3595" i="6" s="1"/>
  <c r="T3595" i="6" s="1"/>
  <c r="P3609" i="6"/>
  <c r="Q3607" i="6"/>
  <c r="Q3609" i="6" s="1"/>
  <c r="N3628" i="6"/>
  <c r="P3628" i="6" s="1"/>
  <c r="T3628" i="6" s="1"/>
  <c r="K3629" i="6"/>
  <c r="N3629" i="6" s="1"/>
  <c r="P3629" i="6" s="1"/>
  <c r="T3629" i="6" s="1"/>
  <c r="K3623" i="6"/>
  <c r="N3623" i="6" s="1"/>
  <c r="P3623" i="6" s="1"/>
  <c r="T3623" i="6" s="1"/>
  <c r="N3622" i="6"/>
  <c r="P3622" i="6" s="1"/>
  <c r="T3622" i="6" s="1"/>
  <c r="H3645" i="6"/>
  <c r="J3645" i="6" s="1"/>
  <c r="N3645" i="6" s="1"/>
  <c r="P3645" i="6" s="1"/>
  <c r="T3645" i="6" s="1"/>
  <c r="Y3568" i="6"/>
  <c r="T3568" i="6"/>
  <c r="H3644" i="6"/>
  <c r="J3644" i="6" s="1"/>
  <c r="N3644" i="6" s="1"/>
  <c r="P3644" i="6" s="1"/>
  <c r="T3644" i="6" s="1"/>
  <c r="H3649" i="6"/>
  <c r="J3649" i="6" s="1"/>
  <c r="N3649" i="6" s="1"/>
  <c r="P3649" i="6" s="1"/>
  <c r="T3649" i="6" s="1"/>
  <c r="H3650" i="6"/>
  <c r="J3650" i="6" s="1"/>
  <c r="N3650" i="6" s="1"/>
  <c r="P3650" i="6" s="1"/>
  <c r="T3650" i="6" s="1"/>
  <c r="H3648" i="6"/>
  <c r="J3648" i="6" s="1"/>
  <c r="N3648" i="6" s="1"/>
  <c r="P3648" i="6" s="1"/>
  <c r="T3648" i="6" s="1"/>
  <c r="H3646" i="6"/>
  <c r="J3646" i="6" s="1"/>
  <c r="N3646" i="6" s="1"/>
  <c r="P3646" i="6" s="1"/>
  <c r="T3646" i="6" s="1"/>
  <c r="E3651" i="6"/>
  <c r="K3656" i="6"/>
  <c r="E3656" i="6"/>
  <c r="J3655" i="6"/>
  <c r="N3655" i="6" s="1"/>
  <c r="P3655" i="6" s="1"/>
  <c r="T3655" i="6" s="1"/>
  <c r="O3831" i="6"/>
  <c r="X1013" i="6"/>
  <c r="I1013" i="6"/>
  <c r="I595" i="6"/>
  <c r="H595" i="6"/>
  <c r="I594" i="6"/>
  <c r="H594" i="6"/>
  <c r="G3528" i="6" l="1"/>
  <c r="H3528" i="6" s="1"/>
  <c r="G3522" i="6"/>
  <c r="H3522" i="6" s="1"/>
  <c r="I2594" i="6"/>
  <c r="I2580" i="6"/>
  <c r="I2582" i="6" s="1"/>
  <c r="I2581" i="6"/>
  <c r="I2589" i="6" s="1"/>
  <c r="I2593" i="6"/>
  <c r="I2596" i="6" s="1"/>
  <c r="R3579" i="6"/>
  <c r="T3579" i="6"/>
  <c r="T3581" i="6" s="1"/>
  <c r="T3607" i="6"/>
  <c r="T3609" i="6" s="1"/>
  <c r="R3607" i="6"/>
  <c r="H3656" i="6"/>
  <c r="J3656" i="6" s="1"/>
  <c r="N3656" i="6" s="1"/>
  <c r="P3656" i="6" s="1"/>
  <c r="T3656" i="6" s="1"/>
  <c r="H3651" i="6"/>
  <c r="J3651" i="6" s="1"/>
  <c r="N3651" i="6" s="1"/>
  <c r="P3651" i="6" s="1"/>
  <c r="T3651" i="6" s="1"/>
  <c r="S3671" i="6"/>
  <c r="S3672" i="6" s="1"/>
  <c r="S3666" i="6"/>
  <c r="S3667" i="6" s="1"/>
  <c r="S3662" i="6"/>
  <c r="S3663" i="6" s="1"/>
  <c r="M3671" i="6"/>
  <c r="M3672" i="6" s="1"/>
  <c r="M3666" i="6"/>
  <c r="M3667" i="6" s="1"/>
  <c r="M3662" i="6"/>
  <c r="M3663" i="6" s="1"/>
  <c r="L3666" i="6"/>
  <c r="L3667" i="6"/>
  <c r="L3668" i="6"/>
  <c r="L3669" i="6"/>
  <c r="L3671" i="6"/>
  <c r="L3672" i="6"/>
  <c r="L3673" i="6"/>
  <c r="L3674" i="6"/>
  <c r="H3661" i="6"/>
  <c r="J3661" i="6" s="1"/>
  <c r="N3661" i="6" s="1"/>
  <c r="R3673" i="6"/>
  <c r="R3672" i="6"/>
  <c r="R3671" i="6"/>
  <c r="R3669" i="6"/>
  <c r="R3668" i="6"/>
  <c r="R3667" i="6"/>
  <c r="R3666" i="6"/>
  <c r="F3673" i="6"/>
  <c r="F3672" i="6"/>
  <c r="F3671" i="6"/>
  <c r="F3669" i="6"/>
  <c r="F3668" i="6"/>
  <c r="F3667" i="6"/>
  <c r="F3666" i="6"/>
  <c r="Q3671" i="6"/>
  <c r="Q3672" i="6" s="1"/>
  <c r="Q3666" i="6"/>
  <c r="Q3667" i="6" s="1"/>
  <c r="Q3662" i="6"/>
  <c r="Q3663" i="6" s="1"/>
  <c r="Q3664" i="6" s="1"/>
  <c r="K3671" i="6"/>
  <c r="K3672" i="6" s="1"/>
  <c r="K3673" i="6" s="1"/>
  <c r="K3666" i="6"/>
  <c r="K3667" i="6" s="1"/>
  <c r="K3668" i="6" s="1"/>
  <c r="K3669" i="6" s="1"/>
  <c r="G3671" i="6"/>
  <c r="G3672" i="6" s="1"/>
  <c r="G3673" i="6" s="1"/>
  <c r="G3674" i="6" s="1"/>
  <c r="G3666" i="6"/>
  <c r="E3666" i="6"/>
  <c r="E3667" i="6" s="1"/>
  <c r="E3668" i="6" s="1"/>
  <c r="E3669" i="6" s="1"/>
  <c r="E3671" i="6"/>
  <c r="E3672" i="6" s="1"/>
  <c r="D3672" i="6"/>
  <c r="D3673" i="6" s="1"/>
  <c r="D3674" i="6" s="1"/>
  <c r="D3667" i="6"/>
  <c r="D3668" i="6" s="1"/>
  <c r="D3669" i="6" s="1"/>
  <c r="D3662" i="6"/>
  <c r="D3663" i="6" s="1"/>
  <c r="D3664" i="6" s="1"/>
  <c r="G3662" i="6"/>
  <c r="G3663" i="6" s="1"/>
  <c r="G3664" i="6" s="1"/>
  <c r="K3662" i="6"/>
  <c r="K3663" i="6" s="1"/>
  <c r="K3664" i="6" s="1"/>
  <c r="E3662" i="6"/>
  <c r="X3567" i="6"/>
  <c r="W3567" i="6"/>
  <c r="V3567" i="6"/>
  <c r="T3567" i="6"/>
  <c r="P3516" i="6" l="1"/>
  <c r="P3519" i="6" s="1"/>
  <c r="P3520" i="6" s="1"/>
  <c r="I2602" i="6"/>
  <c r="I2637" i="6" s="1"/>
  <c r="I2595" i="6"/>
  <c r="I2600" i="6"/>
  <c r="I2634" i="6" s="1"/>
  <c r="I2597" i="6"/>
  <c r="R3581" i="6"/>
  <c r="S3579" i="6"/>
  <c r="S3581" i="6" s="1"/>
  <c r="R3609" i="6"/>
  <c r="S3607" i="6"/>
  <c r="S3609" i="6" s="1"/>
  <c r="Y3567" i="6"/>
  <c r="H3666" i="6"/>
  <c r="J3666" i="6" s="1"/>
  <c r="N3666" i="6" s="1"/>
  <c r="S3673" i="6"/>
  <c r="S3668" i="6"/>
  <c r="S3664" i="6"/>
  <c r="M3664" i="6"/>
  <c r="M3668" i="6"/>
  <c r="M3673" i="6"/>
  <c r="P3661" i="6"/>
  <c r="T3661" i="6" s="1"/>
  <c r="H3671" i="6"/>
  <c r="J3671" i="6" s="1"/>
  <c r="N3671" i="6" s="1"/>
  <c r="H3662" i="6"/>
  <c r="J3662" i="6" s="1"/>
  <c r="H3672" i="6"/>
  <c r="J3672" i="6" s="1"/>
  <c r="N3672" i="6" s="1"/>
  <c r="Q3673" i="6"/>
  <c r="Q3668" i="6"/>
  <c r="G3667" i="6"/>
  <c r="K3674" i="6"/>
  <c r="E3673" i="6"/>
  <c r="H3673" i="6" s="1"/>
  <c r="E3663" i="6"/>
  <c r="H3663" i="6" s="1"/>
  <c r="T3566" i="6"/>
  <c r="T3565" i="6"/>
  <c r="T3564" i="6"/>
  <c r="T3563" i="6"/>
  <c r="T3562" i="6"/>
  <c r="X3566" i="6"/>
  <c r="W3566" i="6"/>
  <c r="V3566" i="6"/>
  <c r="X3565" i="6"/>
  <c r="W3565" i="6"/>
  <c r="V3565" i="6"/>
  <c r="X3564" i="6"/>
  <c r="W3564" i="6"/>
  <c r="V3564" i="6"/>
  <c r="X3563" i="6"/>
  <c r="W3563" i="6"/>
  <c r="V3563" i="6"/>
  <c r="X3562" i="6"/>
  <c r="W3562" i="6"/>
  <c r="V3562" i="6"/>
  <c r="I2573" i="6" l="1"/>
  <c r="I2698" i="6"/>
  <c r="I2641" i="6"/>
  <c r="I2574" i="6" s="1"/>
  <c r="I2682" i="6"/>
  <c r="I2590" i="6"/>
  <c r="Y3565" i="6"/>
  <c r="Y3564" i="6"/>
  <c r="Y3562" i="6"/>
  <c r="Y3563" i="6"/>
  <c r="Y3566" i="6"/>
  <c r="N3662" i="6"/>
  <c r="P3662" i="6" s="1"/>
  <c r="T3662" i="6" s="1"/>
  <c r="S3669" i="6"/>
  <c r="M3669" i="6"/>
  <c r="M3674" i="6"/>
  <c r="P3671" i="6"/>
  <c r="T3671" i="6" s="1"/>
  <c r="P3666" i="6"/>
  <c r="T3666" i="6" s="1"/>
  <c r="P3672" i="6"/>
  <c r="T3672" i="6" s="1"/>
  <c r="G3668" i="6"/>
  <c r="H3667" i="6"/>
  <c r="J3667" i="6" s="1"/>
  <c r="Q3669" i="6"/>
  <c r="Q3674" i="6"/>
  <c r="J3673" i="6"/>
  <c r="N3673" i="6" s="1"/>
  <c r="E3674" i="6"/>
  <c r="J3663" i="6"/>
  <c r="E3664" i="6"/>
  <c r="O3562" i="6"/>
  <c r="L3563" i="6"/>
  <c r="L3562" i="6"/>
  <c r="I2687" i="6" l="1"/>
  <c r="I2643" i="6"/>
  <c r="N3663" i="6"/>
  <c r="P3663" i="6" s="1"/>
  <c r="T3663" i="6" s="1"/>
  <c r="N3667" i="6"/>
  <c r="P3667" i="6" s="1"/>
  <c r="T3667" i="6" s="1"/>
  <c r="H3664" i="6"/>
  <c r="J3664" i="6" s="1"/>
  <c r="N3664" i="6" s="1"/>
  <c r="P3664" i="6" s="1"/>
  <c r="T3664" i="6" s="1"/>
  <c r="H3674" i="6"/>
  <c r="J3674" i="6" s="1"/>
  <c r="N3674" i="6" s="1"/>
  <c r="P3674" i="6" s="1"/>
  <c r="T3674" i="6" s="1"/>
  <c r="P3673" i="6"/>
  <c r="T3673" i="6" s="1"/>
  <c r="G3669" i="6"/>
  <c r="H3669" i="6" s="1"/>
  <c r="J3669" i="6" s="1"/>
  <c r="N3669" i="6" s="1"/>
  <c r="H3668" i="6"/>
  <c r="J3668" i="6" s="1"/>
  <c r="F2012" i="6"/>
  <c r="D2002" i="6"/>
  <c r="L2002" i="6" s="1"/>
  <c r="L2003" i="6" s="1"/>
  <c r="H1997" i="6"/>
  <c r="G1997" i="6"/>
  <c r="K440" i="6"/>
  <c r="H456" i="6"/>
  <c r="H455" i="6"/>
  <c r="H453" i="6"/>
  <c r="H454" i="6"/>
  <c r="H1993" i="6"/>
  <c r="J1993" i="6" s="1"/>
  <c r="H1992" i="6"/>
  <c r="J1992" i="6" s="1"/>
  <c r="H1991" i="6"/>
  <c r="J1991" i="6" s="1"/>
  <c r="G529" i="6"/>
  <c r="G517" i="6"/>
  <c r="G520" i="6" s="1"/>
  <c r="G521" i="6" s="1"/>
  <c r="G522" i="6" s="1"/>
  <c r="G524" i="6" s="1"/>
  <c r="F529" i="6"/>
  <c r="F517" i="6"/>
  <c r="F520" i="6" s="1"/>
  <c r="F521" i="6" s="1"/>
  <c r="I2572" i="6" l="1"/>
  <c r="I2695" i="6"/>
  <c r="N3668" i="6"/>
  <c r="P3668" i="6" s="1"/>
  <c r="T3668" i="6" s="1"/>
  <c r="P3669" i="6"/>
  <c r="T3669" i="6" s="1"/>
  <c r="I1997" i="6"/>
  <c r="D2005" i="6"/>
  <c r="D2006" i="6" s="1"/>
  <c r="D2007" i="6" s="1"/>
  <c r="E2005" i="6"/>
  <c r="E2006" i="6" s="1"/>
  <c r="E2007" i="6" s="1"/>
  <c r="F2005" i="6"/>
  <c r="F2006" i="6" s="1"/>
  <c r="F2007" i="6" s="1"/>
  <c r="F522" i="6"/>
  <c r="F524" i="6" s="1"/>
  <c r="F530" i="6"/>
  <c r="F531" i="6" s="1"/>
  <c r="G530" i="6"/>
  <c r="G531" i="6" s="1"/>
  <c r="H3787" i="6"/>
  <c r="H3784" i="6"/>
  <c r="I3776" i="6"/>
  <c r="G3776" i="6"/>
  <c r="F3776" i="6"/>
  <c r="E3776" i="6"/>
  <c r="V3776" i="6" s="1"/>
  <c r="E3760" i="6"/>
  <c r="V3760" i="6" s="1"/>
  <c r="I3775" i="6"/>
  <c r="G3775" i="6"/>
  <c r="F3775" i="6"/>
  <c r="I3774" i="6"/>
  <c r="G3774" i="6"/>
  <c r="F3774" i="6"/>
  <c r="E3775" i="6"/>
  <c r="V3775" i="6" s="1"/>
  <c r="I3773" i="6"/>
  <c r="G3773" i="6"/>
  <c r="F3773" i="6"/>
  <c r="E3773" i="6"/>
  <c r="V3773" i="6" s="1"/>
  <c r="H3722" i="6"/>
  <c r="H3773" i="6" s="1"/>
  <c r="W3773" i="6" s="1"/>
  <c r="I3768" i="6"/>
  <c r="I3770" i="6"/>
  <c r="G3770" i="6"/>
  <c r="F3770" i="6"/>
  <c r="E3770" i="6"/>
  <c r="V3770" i="6" s="1"/>
  <c r="G3768" i="6"/>
  <c r="F3768" i="6"/>
  <c r="E3768" i="6"/>
  <c r="V3768" i="6" s="1"/>
  <c r="I3754" i="6"/>
  <c r="G3754" i="6"/>
  <c r="F3754" i="6"/>
  <c r="E3754" i="6"/>
  <c r="V3754" i="6" s="1"/>
  <c r="I3767" i="6"/>
  <c r="G3767" i="6"/>
  <c r="F3767" i="6"/>
  <c r="E3767" i="6"/>
  <c r="V3767" i="6" s="1"/>
  <c r="I3766" i="6"/>
  <c r="G3766" i="6"/>
  <c r="F3766" i="6"/>
  <c r="E3766" i="6"/>
  <c r="V3766" i="6" s="1"/>
  <c r="I3764" i="6"/>
  <c r="G3764" i="6"/>
  <c r="F3764" i="6"/>
  <c r="E3764" i="6"/>
  <c r="V3764" i="6" s="1"/>
  <c r="I3763" i="6"/>
  <c r="G3763" i="6"/>
  <c r="F3763" i="6"/>
  <c r="E3763" i="6"/>
  <c r="V3763" i="6" s="1"/>
  <c r="E3759" i="6"/>
  <c r="V3759" i="6" s="1"/>
  <c r="I3760" i="6"/>
  <c r="G3760" i="6"/>
  <c r="F3760" i="6"/>
  <c r="I3759" i="6"/>
  <c r="G3759" i="6"/>
  <c r="F3759" i="6"/>
  <c r="I3758" i="6"/>
  <c r="G3758" i="6"/>
  <c r="F3758" i="6"/>
  <c r="E3756" i="6"/>
  <c r="V3756" i="6" s="1"/>
  <c r="I3755" i="6"/>
  <c r="G3755" i="6"/>
  <c r="F3755" i="6"/>
  <c r="E3755" i="6"/>
  <c r="V3755" i="6" s="1"/>
  <c r="E3752" i="6"/>
  <c r="V3752" i="6" s="1"/>
  <c r="E3751" i="6"/>
  <c r="V3751" i="6" s="1"/>
  <c r="I3756" i="6"/>
  <c r="G3756" i="6"/>
  <c r="F3756" i="6"/>
  <c r="I3752" i="6"/>
  <c r="G3752" i="6"/>
  <c r="F3752" i="6"/>
  <c r="I3751" i="6"/>
  <c r="G3751" i="6"/>
  <c r="F3751" i="6"/>
  <c r="I3749" i="6"/>
  <c r="I3771" i="6" s="1"/>
  <c r="G3749" i="6"/>
  <c r="G3771" i="6" s="1"/>
  <c r="F3749" i="6"/>
  <c r="F3771" i="6" s="1"/>
  <c r="E3749" i="6"/>
  <c r="V3749" i="6" s="1"/>
  <c r="I3741" i="6"/>
  <c r="G3741" i="6"/>
  <c r="F3741" i="6"/>
  <c r="E3741" i="6"/>
  <c r="V3741" i="6" s="1"/>
  <c r="I3740" i="6"/>
  <c r="G3740" i="6"/>
  <c r="F3740" i="6"/>
  <c r="E3740" i="6"/>
  <c r="V3740" i="6" s="1"/>
  <c r="I3739" i="6"/>
  <c r="G3739" i="6"/>
  <c r="F3739" i="6"/>
  <c r="I3738" i="6"/>
  <c r="G3738" i="6"/>
  <c r="F3738" i="6"/>
  <c r="E3739" i="6"/>
  <c r="V3739" i="6" s="1"/>
  <c r="E3738" i="6"/>
  <c r="V3738" i="6" s="1"/>
  <c r="I3736" i="6"/>
  <c r="G3736" i="6"/>
  <c r="F3736" i="6"/>
  <c r="I3735" i="6"/>
  <c r="G3735" i="6"/>
  <c r="F3735" i="6"/>
  <c r="E3735" i="6"/>
  <c r="V3735" i="6" s="1"/>
  <c r="E3736" i="6"/>
  <c r="V3736" i="6" s="1"/>
  <c r="I3747" i="6"/>
  <c r="G3747" i="6"/>
  <c r="F3747" i="6"/>
  <c r="E3747" i="6"/>
  <c r="V3747" i="6" s="1"/>
  <c r="I3746" i="6"/>
  <c r="G3746" i="6"/>
  <c r="F3746" i="6"/>
  <c r="E3746" i="6"/>
  <c r="V3746" i="6" s="1"/>
  <c r="I3745" i="6"/>
  <c r="G3745" i="6"/>
  <c r="F3745" i="6"/>
  <c r="E3745" i="6"/>
  <c r="V3745" i="6" s="1"/>
  <c r="I3744" i="6"/>
  <c r="G3744" i="6"/>
  <c r="F3744" i="6"/>
  <c r="E3744" i="6"/>
  <c r="V3744" i="6" s="1"/>
  <c r="I3743" i="6"/>
  <c r="G3743" i="6"/>
  <c r="F3743" i="6"/>
  <c r="E3743" i="6"/>
  <c r="V3743" i="6" s="1"/>
  <c r="H3686" i="6"/>
  <c r="H3735" i="6" s="1"/>
  <c r="W3735" i="6" s="1"/>
  <c r="H3688" i="6"/>
  <c r="H3744" i="6" s="1"/>
  <c r="W3744" i="6" s="1"/>
  <c r="H3690" i="6"/>
  <c r="H3745" i="6" s="1"/>
  <c r="W3745" i="6" s="1"/>
  <c r="H3694" i="6"/>
  <c r="H3749" i="6" s="1"/>
  <c r="H3693" i="6"/>
  <c r="H3754" i="6" s="1"/>
  <c r="W3754" i="6" s="1"/>
  <c r="H3692" i="6"/>
  <c r="H3698" i="6"/>
  <c r="H3768" i="6" s="1"/>
  <c r="W3768" i="6" s="1"/>
  <c r="H3697" i="6"/>
  <c r="H3767" i="6" s="1"/>
  <c r="W3767" i="6" s="1"/>
  <c r="H3696" i="6"/>
  <c r="H3766" i="6" s="1"/>
  <c r="W3766" i="6" s="1"/>
  <c r="H3700" i="6"/>
  <c r="H3743" i="6" s="1"/>
  <c r="W3743" i="6" s="1"/>
  <c r="H3702" i="6"/>
  <c r="H3736" i="6" s="1"/>
  <c r="W3736" i="6" s="1"/>
  <c r="H3704" i="6"/>
  <c r="H3751" i="6" s="1"/>
  <c r="W3751" i="6" s="1"/>
  <c r="H3707" i="6"/>
  <c r="H3706" i="6"/>
  <c r="H3740" i="6" s="1"/>
  <c r="W3740" i="6" s="1"/>
  <c r="H3709" i="6"/>
  <c r="H3741" i="6" s="1"/>
  <c r="W3741" i="6" s="1"/>
  <c r="H3715" i="6"/>
  <c r="H3764" i="6" s="1"/>
  <c r="W3764" i="6" s="1"/>
  <c r="H3714" i="6"/>
  <c r="H3760" i="6" s="1"/>
  <c r="W3760" i="6" s="1"/>
  <c r="H3713" i="6"/>
  <c r="H3712" i="6"/>
  <c r="H3770" i="6" s="1"/>
  <c r="W3770" i="6" s="1"/>
  <c r="H3711" i="6"/>
  <c r="H3759" i="6" s="1"/>
  <c r="W3759" i="6" s="1"/>
  <c r="H3717" i="6"/>
  <c r="H3774" i="6" s="1"/>
  <c r="W3774" i="6" s="1"/>
  <c r="H3720" i="6"/>
  <c r="H3755" i="6" s="1"/>
  <c r="W3755" i="6" s="1"/>
  <c r="H3719" i="6"/>
  <c r="H3726" i="6"/>
  <c r="H3725" i="6"/>
  <c r="H3747" i="6" s="1"/>
  <c r="W3747" i="6" s="1"/>
  <c r="H3724" i="6"/>
  <c r="H3739" i="6" s="1"/>
  <c r="W3739" i="6" s="1"/>
  <c r="H3728" i="6"/>
  <c r="H3746" i="6" s="1"/>
  <c r="W3746" i="6" s="1"/>
  <c r="H3729" i="6"/>
  <c r="H3738" i="6" s="1"/>
  <c r="W3738" i="6" s="1"/>
  <c r="H1648" i="6"/>
  <c r="H1647" i="6"/>
  <c r="H1681" i="6"/>
  <c r="H1682" i="6"/>
  <c r="H1678" i="6"/>
  <c r="H1676" i="6"/>
  <c r="H1675" i="6"/>
  <c r="H1673" i="6"/>
  <c r="H1672" i="6"/>
  <c r="H1671" i="6"/>
  <c r="H1670" i="6"/>
  <c r="H1669" i="6"/>
  <c r="H1668" i="6"/>
  <c r="H1666" i="6"/>
  <c r="H1665" i="6"/>
  <c r="H1664" i="6"/>
  <c r="H1662" i="6"/>
  <c r="H1661" i="6"/>
  <c r="H1660" i="6"/>
  <c r="H1658" i="6"/>
  <c r="H1657" i="6"/>
  <c r="H1653" i="6"/>
  <c r="H1652" i="6"/>
  <c r="H1645" i="6"/>
  <c r="H1644" i="6"/>
  <c r="L2006" i="6" l="1"/>
  <c r="F3769" i="6"/>
  <c r="F3762" i="6"/>
  <c r="H3762" i="6"/>
  <c r="W3762" i="6" s="1"/>
  <c r="W3749" i="6"/>
  <c r="G3762" i="6"/>
  <c r="E3762" i="6"/>
  <c r="V3762" i="6" s="1"/>
  <c r="H3763" i="6"/>
  <c r="W3763" i="6" s="1"/>
  <c r="E3769" i="6"/>
  <c r="V3769" i="6" s="1"/>
  <c r="H3758" i="6"/>
  <c r="W3758" i="6" s="1"/>
  <c r="E3758" i="6"/>
  <c r="V3758" i="6" s="1"/>
  <c r="I3762" i="6"/>
  <c r="G3769" i="6"/>
  <c r="E3771" i="6"/>
  <c r="V3771" i="6" s="1"/>
  <c r="H3776" i="6"/>
  <c r="W3776" i="6" s="1"/>
  <c r="I3769" i="6"/>
  <c r="H3752" i="6"/>
  <c r="W3752" i="6" s="1"/>
  <c r="H3775" i="6"/>
  <c r="W3775" i="6" s="1"/>
  <c r="H3769" i="6"/>
  <c r="W3769" i="6" s="1"/>
  <c r="H3756" i="6"/>
  <c r="W3756" i="6" s="1"/>
  <c r="H3771" i="6"/>
  <c r="W3771" i="6" s="1"/>
  <c r="AB1273" i="6"/>
  <c r="U1273" i="6"/>
  <c r="W3733" i="6" l="1"/>
  <c r="P3780" i="6" s="1"/>
  <c r="P3781" i="6" s="1"/>
  <c r="P3783" i="6" s="1"/>
  <c r="P3785" i="6" s="1"/>
  <c r="P3786" i="6" s="1"/>
  <c r="E3717" i="6"/>
  <c r="E3774" i="6" s="1"/>
  <c r="V3774" i="6" s="1"/>
  <c r="V3733" i="6" s="1"/>
  <c r="G3781" i="6" s="1"/>
  <c r="G3783" i="6" s="1"/>
  <c r="P3784" i="6" l="1"/>
  <c r="H3783" i="6"/>
  <c r="G3785" i="6"/>
  <c r="G3788" i="6" s="1"/>
  <c r="H3788" i="6" s="1"/>
  <c r="H3781" i="6"/>
  <c r="M1262" i="6"/>
  <c r="R1262" i="6"/>
  <c r="S1262" i="6" s="1"/>
  <c r="H3785" i="6" l="1"/>
  <c r="AD1406" i="6"/>
  <c r="AB1406" i="6"/>
  <c r="AC1406" i="6" s="1"/>
  <c r="Z1406" i="6"/>
  <c r="X1406" i="6"/>
  <c r="AD1375" i="6"/>
  <c r="AB1375" i="6"/>
  <c r="AC1375" i="6" s="1"/>
  <c r="Z1375" i="6"/>
  <c r="X1375" i="6"/>
  <c r="AD1374" i="6"/>
  <c r="AB1374" i="6"/>
  <c r="AC1374" i="6" s="1"/>
  <c r="Z1374" i="6"/>
  <c r="X1374" i="6"/>
  <c r="AA1349" i="6"/>
  <c r="AA1348" i="6"/>
  <c r="X1349" i="6"/>
  <c r="W1349" i="6"/>
  <c r="V1349" i="6"/>
  <c r="U1349" i="6"/>
  <c r="Y1348" i="6"/>
  <c r="Z1348" i="6" s="1"/>
  <c r="W1348" i="6"/>
  <c r="V1348" i="6"/>
  <c r="U1348" i="6"/>
  <c r="M1333" i="6"/>
  <c r="M1332" i="6"/>
  <c r="M1331" i="6"/>
  <c r="M1330" i="6"/>
  <c r="M1329" i="6"/>
  <c r="G1322" i="6"/>
  <c r="P1283" i="6"/>
  <c r="Q1283" i="6" s="1"/>
  <c r="P1282" i="6"/>
  <c r="Q1282" i="6" s="1"/>
  <c r="R1260" i="6"/>
  <c r="S1260" i="6" s="1"/>
  <c r="M1260" i="6"/>
  <c r="F1986" i="6"/>
  <c r="G1986" i="6" s="1"/>
  <c r="I1981" i="6"/>
  <c r="J1981" i="6" s="1"/>
  <c r="F1981" i="6"/>
  <c r="G1981" i="6" s="1"/>
  <c r="I1980" i="6"/>
  <c r="J1980" i="6" s="1"/>
  <c r="F1980" i="6"/>
  <c r="G1980" i="6" s="1"/>
  <c r="I1979" i="6"/>
  <c r="J1979" i="6" s="1"/>
  <c r="F1979" i="6"/>
  <c r="G1979" i="6" s="1"/>
  <c r="Y1349" i="6" l="1"/>
  <c r="Z1349" i="6" s="1"/>
  <c r="X1350" i="6"/>
  <c r="Y1350" i="6" s="1"/>
  <c r="Z1350" i="6" s="1"/>
  <c r="J1986" i="6"/>
  <c r="K2295" i="6"/>
  <c r="P2295" i="6" s="1"/>
  <c r="J2295" i="6"/>
  <c r="H2295" i="6"/>
  <c r="V1273" i="6"/>
  <c r="AC1273" i="6"/>
  <c r="M1261" i="6"/>
  <c r="R1261" i="6"/>
  <c r="S1261" i="6" s="1"/>
  <c r="K1068" i="6"/>
  <c r="L1068" i="6" s="1"/>
  <c r="K1066" i="6"/>
  <c r="L1066" i="6" s="1"/>
  <c r="K1067" i="6"/>
  <c r="L1067" i="6" s="1"/>
  <c r="K1065" i="6"/>
  <c r="L1065" i="6" s="1"/>
  <c r="W1273" i="6" l="1"/>
  <c r="Y1273" i="6"/>
  <c r="M2295" i="6"/>
  <c r="N2295" i="6" s="1"/>
  <c r="Q2295" i="6" s="1"/>
  <c r="R2295" i="6" s="1"/>
  <c r="S2295" i="6" s="1"/>
  <c r="G52" i="9"/>
  <c r="G51" i="9"/>
  <c r="G64" i="9" s="1"/>
  <c r="E55" i="9"/>
  <c r="E54" i="9"/>
  <c r="W2295" i="6" l="1"/>
  <c r="I2299" i="6" s="1"/>
  <c r="E2352" i="6"/>
  <c r="F2352" i="6" s="1"/>
  <c r="H2352" i="6" s="1"/>
  <c r="X2295" i="6"/>
  <c r="E2305" i="6" s="1"/>
  <c r="E2306" i="6" s="1"/>
  <c r="G50" i="9"/>
  <c r="G63" i="9" s="1"/>
  <c r="I2300" i="6" l="1"/>
  <c r="J2299" i="6"/>
  <c r="K2299" i="6" s="1"/>
  <c r="F2306" i="6"/>
  <c r="H2306" i="6"/>
  <c r="I2306" i="6" s="1"/>
  <c r="H2305" i="6"/>
  <c r="F2305" i="6"/>
  <c r="L41" i="9"/>
  <c r="L40" i="9"/>
  <c r="E40" i="9"/>
  <c r="O39" i="9"/>
  <c r="N39" i="9"/>
  <c r="M39" i="9"/>
  <c r="L39" i="9"/>
  <c r="O38" i="9"/>
  <c r="N38" i="9"/>
  <c r="M38" i="9"/>
  <c r="L38" i="9"/>
  <c r="E38" i="9"/>
  <c r="L37" i="9"/>
  <c r="L36" i="9"/>
  <c r="E36" i="9"/>
  <c r="L35" i="9"/>
  <c r="L34" i="9"/>
  <c r="E34" i="9"/>
  <c r="J2314" i="6" l="1"/>
  <c r="K2314" i="6" s="1"/>
  <c r="J2310" i="6"/>
  <c r="J2313" i="6"/>
  <c r="K2313" i="6" s="1"/>
  <c r="J2312" i="6"/>
  <c r="K2312" i="6" s="1"/>
  <c r="J2315" i="6"/>
  <c r="K2315" i="6" s="1"/>
  <c r="J2311" i="6"/>
  <c r="K2311" i="6" s="1"/>
  <c r="J2300" i="6"/>
  <c r="K2300" i="6" s="1"/>
  <c r="I2301" i="6"/>
  <c r="I2305" i="6"/>
  <c r="H244" i="4"/>
  <c r="H243" i="4"/>
  <c r="H242" i="4"/>
  <c r="H241" i="4"/>
  <c r="H240" i="4"/>
  <c r="H239" i="4"/>
  <c r="H238" i="4"/>
  <c r="K2279" i="6" l="1"/>
  <c r="L2279" i="6" s="1"/>
  <c r="M2315" i="6"/>
  <c r="L2315" i="6"/>
  <c r="M2312" i="6"/>
  <c r="L2312" i="6"/>
  <c r="M2313" i="6"/>
  <c r="L2313" i="6"/>
  <c r="M2311" i="6"/>
  <c r="L2311" i="6"/>
  <c r="K2310" i="6"/>
  <c r="L2310" i="6" s="1"/>
  <c r="I2302" i="6"/>
  <c r="J2302" i="6" s="1"/>
  <c r="K2302" i="6" s="1"/>
  <c r="J2301" i="6"/>
  <c r="K2301" i="6" s="1"/>
  <c r="M2314" i="6"/>
  <c r="L2314" i="6"/>
  <c r="Z121" i="7"/>
  <c r="N132" i="7"/>
  <c r="J132" i="7"/>
  <c r="F132" i="7"/>
  <c r="G132" i="7" s="1"/>
  <c r="N131" i="7"/>
  <c r="N130" i="7"/>
  <c r="N129" i="7"/>
  <c r="J131" i="7"/>
  <c r="J130" i="7"/>
  <c r="J129" i="7"/>
  <c r="F131" i="7"/>
  <c r="G131" i="7" s="1"/>
  <c r="F130" i="7"/>
  <c r="G130" i="7" s="1"/>
  <c r="F129" i="7"/>
  <c r="G129" i="7" s="1"/>
  <c r="M2310" i="6" l="1"/>
  <c r="M2279" i="6"/>
  <c r="K131" i="7"/>
  <c r="O131" i="7" s="1"/>
  <c r="P131" i="7" s="1"/>
  <c r="Q131" i="7" s="1"/>
  <c r="K129" i="7"/>
  <c r="O129" i="7" s="1"/>
  <c r="P129" i="7" s="1"/>
  <c r="Q129" i="7" s="1"/>
  <c r="K132" i="7"/>
  <c r="O132" i="7" s="1"/>
  <c r="P132" i="7" s="1"/>
  <c r="Q132" i="7" s="1"/>
  <c r="K130" i="7"/>
  <c r="O130" i="7" s="1"/>
  <c r="P130" i="7" s="1"/>
  <c r="Q130" i="7" s="1"/>
  <c r="F1026" i="4"/>
  <c r="F1028" i="4"/>
  <c r="N226" i="6" l="1"/>
  <c r="V226" i="6" s="1"/>
  <c r="L226" i="6"/>
  <c r="K226" i="6"/>
  <c r="J226" i="6"/>
  <c r="I226" i="6"/>
  <c r="O226" i="6" l="1"/>
  <c r="P226" i="6" s="1"/>
  <c r="Q226" i="6" s="1"/>
  <c r="R226" i="6" s="1"/>
  <c r="S226" i="6" s="1"/>
  <c r="T226" i="6" s="1"/>
  <c r="AA226" i="6" s="1"/>
  <c r="W226" i="6"/>
  <c r="X226" i="6" s="1"/>
  <c r="AB226" i="6" s="1"/>
  <c r="D229" i="6"/>
  <c r="D228" i="6"/>
  <c r="N229" i="6"/>
  <c r="L229" i="6"/>
  <c r="K229" i="6"/>
  <c r="J229" i="6"/>
  <c r="I229" i="6"/>
  <c r="G228" i="6"/>
  <c r="G229" i="6" s="1"/>
  <c r="N228" i="6"/>
  <c r="L228" i="6"/>
  <c r="K228" i="6"/>
  <c r="J228" i="6"/>
  <c r="I228" i="6"/>
  <c r="N227" i="6"/>
  <c r="V227" i="6" s="1"/>
  <c r="L227" i="6"/>
  <c r="K227" i="6"/>
  <c r="J227" i="6"/>
  <c r="I227" i="6"/>
  <c r="N230" i="6"/>
  <c r="V230" i="6" s="1"/>
  <c r="L230" i="6"/>
  <c r="K230" i="6"/>
  <c r="J230" i="6"/>
  <c r="I230" i="6"/>
  <c r="L225" i="6"/>
  <c r="I225" i="6"/>
  <c r="J225" i="6"/>
  <c r="K225" i="6"/>
  <c r="N225" i="6"/>
  <c r="V225" i="6" s="1"/>
  <c r="N224" i="6"/>
  <c r="O224" i="6" s="1"/>
  <c r="P224" i="6" s="1"/>
  <c r="Q224" i="6" s="1"/>
  <c r="R224" i="6" s="1"/>
  <c r="O228" i="6" l="1"/>
  <c r="P228" i="6" s="1"/>
  <c r="Q228" i="6" s="1"/>
  <c r="R228" i="6" s="1"/>
  <c r="S228" i="6" s="1"/>
  <c r="T228" i="6" s="1"/>
  <c r="AA228" i="6" s="1"/>
  <c r="V224" i="6"/>
  <c r="W224" i="6" s="1"/>
  <c r="Y224" i="6" s="1"/>
  <c r="AC224" i="6" s="1"/>
  <c r="Y226" i="6"/>
  <c r="AC226" i="6" s="1"/>
  <c r="O230" i="6"/>
  <c r="P230" i="6" s="1"/>
  <c r="Q230" i="6" s="1"/>
  <c r="R230" i="6" s="1"/>
  <c r="S230" i="6" s="1"/>
  <c r="T230" i="6" s="1"/>
  <c r="AA230" i="6" s="1"/>
  <c r="W225" i="6"/>
  <c r="X225" i="6" s="1"/>
  <c r="AB225" i="6" s="1"/>
  <c r="V228" i="6"/>
  <c r="W228" i="6" s="1"/>
  <c r="V229" i="6"/>
  <c r="W229" i="6" s="1"/>
  <c r="X229" i="6" s="1"/>
  <c r="AB229" i="6" s="1"/>
  <c r="O229" i="6"/>
  <c r="P229" i="6" s="1"/>
  <c r="Q229" i="6" s="1"/>
  <c r="R229" i="6" s="1"/>
  <c r="S229" i="6" s="1"/>
  <c r="T229" i="6" s="1"/>
  <c r="AA229" i="6" s="1"/>
  <c r="W227" i="6"/>
  <c r="Y227" i="6" s="1"/>
  <c r="AC227" i="6" s="1"/>
  <c r="O227" i="6"/>
  <c r="P227" i="6" s="1"/>
  <c r="Q227" i="6" s="1"/>
  <c r="R227" i="6" s="1"/>
  <c r="S227" i="6" s="1"/>
  <c r="T227" i="6" s="1"/>
  <c r="AA227" i="6" s="1"/>
  <c r="W230" i="6"/>
  <c r="O225" i="6"/>
  <c r="P225" i="6" s="1"/>
  <c r="S224" i="6"/>
  <c r="T224" i="6" s="1"/>
  <c r="AA224" i="6" s="1"/>
  <c r="Y225" i="6" l="1"/>
  <c r="AC225" i="6" s="1"/>
  <c r="X224" i="6"/>
  <c r="AB224" i="6" s="1"/>
  <c r="X228" i="6"/>
  <c r="AB228" i="6" s="1"/>
  <c r="Y228" i="6"/>
  <c r="AC228" i="6" s="1"/>
  <c r="Y229" i="6"/>
  <c r="AC229" i="6" s="1"/>
  <c r="Q225" i="6"/>
  <c r="R225" i="6" s="1"/>
  <c r="S225" i="6" s="1"/>
  <c r="T225" i="6" s="1"/>
  <c r="AA225" i="6" s="1"/>
  <c r="Y230" i="6"/>
  <c r="AC230" i="6" s="1"/>
  <c r="X230" i="6"/>
  <c r="AB230" i="6" s="1"/>
  <c r="X227" i="6"/>
  <c r="AB227" i="6" s="1"/>
  <c r="D1050" i="6"/>
  <c r="D1044" i="6"/>
  <c r="D1046" i="6" s="1"/>
  <c r="D1048" i="6" s="1"/>
  <c r="D1040" i="6"/>
  <c r="D1037" i="6"/>
  <c r="AA216" i="4"/>
  <c r="Z216" i="4"/>
  <c r="Z217" i="4"/>
  <c r="AA217" i="4"/>
  <c r="Y216" i="4"/>
  <c r="F214" i="4"/>
  <c r="F217" i="4" s="1"/>
  <c r="F221" i="4" s="1"/>
  <c r="F222" i="4" s="1"/>
  <c r="G214" i="4"/>
  <c r="G217" i="4" s="1"/>
  <c r="G221" i="4" s="1"/>
  <c r="G222" i="4" s="1"/>
  <c r="AA212" i="4"/>
  <c r="Y217" i="4"/>
  <c r="Y212" i="4"/>
  <c r="Z212" i="4"/>
  <c r="H214" i="4"/>
  <c r="H217" i="4" s="1"/>
  <c r="H221" i="4" s="1"/>
  <c r="H222" i="4" s="1"/>
  <c r="X212" i="4"/>
  <c r="W212" i="4"/>
  <c r="V212" i="4"/>
  <c r="F265" i="4"/>
  <c r="F267" i="4" s="1"/>
  <c r="E265" i="4"/>
  <c r="E267" i="4" s="1"/>
  <c r="I214" i="4"/>
  <c r="I217" i="4" s="1"/>
  <c r="I221" i="4" s="1"/>
  <c r="I222" i="4" s="1"/>
  <c r="L97" i="4"/>
  <c r="L98" i="4" s="1"/>
  <c r="K97" i="4"/>
  <c r="K98" i="4" s="1"/>
  <c r="J97" i="4"/>
  <c r="J98" i="4" s="1"/>
  <c r="I97" i="4"/>
  <c r="I98" i="4" s="1"/>
  <c r="P110" i="4" s="1"/>
  <c r="P111" i="4" s="1"/>
  <c r="P112" i="4" s="1"/>
  <c r="H97" i="4"/>
  <c r="H98" i="4" s="1"/>
  <c r="O110" i="4" s="1"/>
  <c r="O111" i="4" s="1"/>
  <c r="O112" i="4" s="1"/>
  <c r="G97" i="4"/>
  <c r="G98" i="4" s="1"/>
  <c r="F110" i="4" s="1"/>
  <c r="F111" i="4" s="1"/>
  <c r="F112" i="4" s="1"/>
  <c r="F97" i="4"/>
  <c r="F98" i="4" s="1"/>
  <c r="J214" i="4"/>
  <c r="J217" i="4" s="1"/>
  <c r="J221" i="4" s="1"/>
  <c r="J222" i="4" s="1"/>
  <c r="J109" i="4"/>
  <c r="I173" i="4"/>
  <c r="I180" i="4"/>
  <c r="L109" i="4" s="1"/>
  <c r="G107" i="4"/>
  <c r="D740" i="4"/>
  <c r="T755" i="4" s="1"/>
  <c r="D739" i="4"/>
  <c r="T754" i="4" s="1"/>
  <c r="D738" i="4"/>
  <c r="T753" i="4" s="1"/>
  <c r="S753" i="4"/>
  <c r="S754" i="4" s="1"/>
  <c r="R755" i="4"/>
  <c r="R754" i="4"/>
  <c r="R753" i="4"/>
  <c r="L581" i="8"/>
  <c r="K581" i="8"/>
  <c r="J581" i="8"/>
  <c r="L549" i="8"/>
  <c r="L548" i="8"/>
  <c r="L540" i="8"/>
  <c r="K549" i="8"/>
  <c r="K540" i="8"/>
  <c r="K551" i="8" s="1"/>
  <c r="J544" i="8"/>
  <c r="J545" i="8" s="1"/>
  <c r="J540" i="8"/>
  <c r="D428" i="8"/>
  <c r="D429" i="8"/>
  <c r="E429" i="8" s="1"/>
  <c r="G429" i="8" s="1"/>
  <c r="I429" i="8" s="1"/>
  <c r="F820" i="4"/>
  <c r="U820" i="4" s="1"/>
  <c r="T820" i="4" s="1"/>
  <c r="S820" i="4" s="1"/>
  <c r="F821" i="4"/>
  <c r="U821" i="4" s="1"/>
  <c r="T821" i="4" s="1"/>
  <c r="S821" i="4" s="1"/>
  <c r="F819" i="4"/>
  <c r="L819" i="4" s="1"/>
  <c r="K819" i="4" s="1"/>
  <c r="J819" i="4" s="1"/>
  <c r="Y830" i="4"/>
  <c r="Y831" i="4"/>
  <c r="Y832" i="4"/>
  <c r="Z830" i="4"/>
  <c r="J1064" i="4"/>
  <c r="D1043" i="4"/>
  <c r="D1044" i="4" s="1"/>
  <c r="D1028" i="4"/>
  <c r="D1033" i="4" s="1"/>
  <c r="D1034" i="4" s="1"/>
  <c r="F929" i="4"/>
  <c r="L929" i="4" s="1"/>
  <c r="M929" i="4"/>
  <c r="H927" i="4"/>
  <c r="H929" i="4" s="1"/>
  <c r="F928" i="4"/>
  <c r="L928" i="4" s="1"/>
  <c r="M928" i="4"/>
  <c r="F927" i="4"/>
  <c r="L927" i="4" s="1"/>
  <c r="M927" i="4"/>
  <c r="D900" i="4"/>
  <c r="G934" i="4" s="1"/>
  <c r="V928" i="4"/>
  <c r="Q927" i="4"/>
  <c r="Q928" i="4" s="1"/>
  <c r="V927" i="4"/>
  <c r="Z832" i="4"/>
  <c r="Z831" i="4"/>
  <c r="Y840" i="4"/>
  <c r="Z840" i="4" s="1"/>
  <c r="F828" i="4"/>
  <c r="F827" i="4"/>
  <c r="F826" i="4"/>
  <c r="E1028" i="4"/>
  <c r="E1033" i="4" s="1"/>
  <c r="E1034" i="4" s="1"/>
  <c r="E1035" i="4" s="1"/>
  <c r="O41" i="9" s="1"/>
  <c r="D792" i="4"/>
  <c r="H826" i="4" s="1"/>
  <c r="F762" i="4"/>
  <c r="P762" i="4" s="1"/>
  <c r="F761" i="4"/>
  <c r="J761" i="4" s="1"/>
  <c r="F760" i="4"/>
  <c r="I760" i="4" s="1"/>
  <c r="J1059" i="4"/>
  <c r="J1060" i="4"/>
  <c r="J1062" i="4"/>
  <c r="J1066" i="4"/>
  <c r="J1068" i="4"/>
  <c r="J1069" i="4"/>
  <c r="J1071" i="4"/>
  <c r="J1073" i="4"/>
  <c r="J1074" i="4"/>
  <c r="F1057" i="4"/>
  <c r="F1021" i="4" s="1"/>
  <c r="E29" i="9" s="1"/>
  <c r="J970" i="4"/>
  <c r="J971" i="4"/>
  <c r="J973" i="4"/>
  <c r="J975" i="4"/>
  <c r="J977" i="4"/>
  <c r="J978" i="4"/>
  <c r="J979" i="4"/>
  <c r="J980" i="4"/>
  <c r="J982" i="4"/>
  <c r="J984" i="4"/>
  <c r="J985" i="4"/>
  <c r="J986" i="4"/>
  <c r="J987" i="4"/>
  <c r="J989" i="4"/>
  <c r="J991" i="4"/>
  <c r="J992" i="4"/>
  <c r="F968" i="4"/>
  <c r="F890" i="4" s="1"/>
  <c r="E28" i="9" s="1"/>
  <c r="J835" i="4"/>
  <c r="J836" i="4"/>
  <c r="J837" i="4"/>
  <c r="J839" i="4"/>
  <c r="J840" i="4"/>
  <c r="J842" i="4"/>
  <c r="J844" i="4"/>
  <c r="J845" i="4"/>
  <c r="J846" i="4"/>
  <c r="J848" i="4"/>
  <c r="J849" i="4"/>
  <c r="F833" i="4"/>
  <c r="F786" i="4" s="1"/>
  <c r="E27" i="9" s="1"/>
  <c r="J766" i="4"/>
  <c r="J767" i="4"/>
  <c r="J768" i="4"/>
  <c r="J770" i="4"/>
  <c r="J771" i="4"/>
  <c r="J773" i="4"/>
  <c r="J775" i="4"/>
  <c r="J777" i="4"/>
  <c r="J778" i="4"/>
  <c r="F764" i="4"/>
  <c r="F732" i="4" s="1"/>
  <c r="E26" i="9" s="1"/>
  <c r="G1055" i="4"/>
  <c r="G1049" i="4"/>
  <c r="G1052" i="4" s="1"/>
  <c r="G1053" i="4" s="1"/>
  <c r="E1026" i="4"/>
  <c r="E1043" i="4"/>
  <c r="E1044" i="4" s="1"/>
  <c r="L196" i="4"/>
  <c r="L201" i="4"/>
  <c r="L197" i="4" s="1"/>
  <c r="D1055" i="4"/>
  <c r="E1055" i="4"/>
  <c r="E1049" i="4"/>
  <c r="E1051" i="4" s="1"/>
  <c r="F1049" i="4"/>
  <c r="F1051" i="4" s="1"/>
  <c r="F1033" i="4"/>
  <c r="D1049" i="4"/>
  <c r="D1052" i="4" s="1"/>
  <c r="D1053" i="4" s="1"/>
  <c r="F1043" i="4"/>
  <c r="F1044" i="4" s="1"/>
  <c r="W942" i="4"/>
  <c r="W941" i="4"/>
  <c r="W943" i="4"/>
  <c r="V929" i="4"/>
  <c r="I942" i="4"/>
  <c r="L942" i="4"/>
  <c r="L941" i="4"/>
  <c r="AB934" i="4"/>
  <c r="Z934" i="4"/>
  <c r="AA934" i="4" s="1"/>
  <c r="U831" i="4"/>
  <c r="S831" i="4"/>
  <c r="T831" i="4" s="1"/>
  <c r="N754" i="4"/>
  <c r="L754" i="4"/>
  <c r="M754" i="4" s="1"/>
  <c r="S826" i="4"/>
  <c r="T826" i="4"/>
  <c r="J653" i="4"/>
  <c r="E944" i="4"/>
  <c r="U934" i="4"/>
  <c r="V934" i="4" s="1"/>
  <c r="W934" i="4" s="1"/>
  <c r="D943" i="4"/>
  <c r="E943" i="4" s="1"/>
  <c r="E942" i="4"/>
  <c r="D941" i="4"/>
  <c r="E941" i="4" s="1"/>
  <c r="N826" i="4"/>
  <c r="N828" i="4" s="1"/>
  <c r="O828" i="4" s="1"/>
  <c r="P828" i="4" s="1"/>
  <c r="U937" i="4"/>
  <c r="V937" i="4" s="1"/>
  <c r="W937" i="4" s="1"/>
  <c r="U936" i="4"/>
  <c r="V936" i="4" s="1"/>
  <c r="W936" i="4" s="1"/>
  <c r="U935" i="4"/>
  <c r="V935" i="4" s="1"/>
  <c r="W935" i="4" s="1"/>
  <c r="D929" i="4"/>
  <c r="D936" i="4" s="1"/>
  <c r="D928" i="4"/>
  <c r="D935" i="4" s="1"/>
  <c r="D927" i="4"/>
  <c r="D934" i="4" s="1"/>
  <c r="D819" i="4"/>
  <c r="K1090" i="4"/>
  <c r="Z771" i="4"/>
  <c r="F350" i="4"/>
  <c r="I350" i="4"/>
  <c r="I349" i="4"/>
  <c r="I348" i="4"/>
  <c r="K1094" i="4"/>
  <c r="K1093" i="4"/>
  <c r="F1055" i="4"/>
  <c r="D796" i="4"/>
  <c r="G831" i="4" s="1"/>
  <c r="D795" i="4"/>
  <c r="D794" i="4"/>
  <c r="D901" i="4"/>
  <c r="D903" i="4"/>
  <c r="D902" i="4"/>
  <c r="G371" i="4"/>
  <c r="H371" i="4"/>
  <c r="Q375" i="4"/>
  <c r="Q374" i="4"/>
  <c r="Q373" i="4"/>
  <c r="Q372" i="4"/>
  <c r="Q371" i="4"/>
  <c r="Q370" i="4"/>
  <c r="O196" i="4"/>
  <c r="N196" i="4"/>
  <c r="M196" i="4"/>
  <c r="I196" i="4"/>
  <c r="I374" i="4"/>
  <c r="J414" i="4"/>
  <c r="J415" i="4" s="1"/>
  <c r="I373" i="4"/>
  <c r="I372" i="4"/>
  <c r="I370" i="4"/>
  <c r="D821" i="4"/>
  <c r="D820" i="4"/>
  <c r="D826" i="4"/>
  <c r="D762" i="4"/>
  <c r="D761" i="4"/>
  <c r="D760" i="4"/>
  <c r="D754" i="4"/>
  <c r="D828" i="4"/>
  <c r="D827" i="4"/>
  <c r="D756" i="4"/>
  <c r="D755" i="4"/>
  <c r="F755" i="4"/>
  <c r="G754" i="4"/>
  <c r="G755" i="4" s="1"/>
  <c r="F749" i="4"/>
  <c r="G749" i="4" s="1"/>
  <c r="H561" i="4"/>
  <c r="F561" i="4"/>
  <c r="E564" i="4"/>
  <c r="E563" i="4"/>
  <c r="H563" i="4" s="1"/>
  <c r="E562" i="4"/>
  <c r="I562" i="4" s="1"/>
  <c r="F564" i="4"/>
  <c r="F563" i="4"/>
  <c r="F562" i="4"/>
  <c r="D1026" i="4"/>
  <c r="G475" i="4"/>
  <c r="H475" i="4" s="1"/>
  <c r="I475" i="4" s="1"/>
  <c r="G474" i="4"/>
  <c r="H474" i="4" s="1"/>
  <c r="I474" i="4" s="1"/>
  <c r="G473" i="4"/>
  <c r="H473" i="4" s="1"/>
  <c r="I473" i="4" s="1"/>
  <c r="G472" i="4"/>
  <c r="H472" i="4" s="1"/>
  <c r="I472" i="4" s="1"/>
  <c r="M367" i="4"/>
  <c r="M366" i="4"/>
  <c r="M365" i="4"/>
  <c r="H367" i="4"/>
  <c r="H366" i="4"/>
  <c r="H365" i="4"/>
  <c r="M1450" i="4"/>
  <c r="M1449" i="4"/>
  <c r="M1448" i="4"/>
  <c r="M1447" i="4"/>
  <c r="M1446" i="4"/>
  <c r="M1445" i="4"/>
  <c r="M1444" i="4"/>
  <c r="M1443" i="4"/>
  <c r="M1442" i="4"/>
  <c r="M1441" i="4"/>
  <c r="M1440" i="4"/>
  <c r="M1439" i="4"/>
  <c r="M1438" i="4"/>
  <c r="M1437" i="4"/>
  <c r="G1450" i="4"/>
  <c r="G1449" i="4"/>
  <c r="G1448" i="4"/>
  <c r="G1447" i="4"/>
  <c r="G1446" i="4"/>
  <c r="G1445" i="4"/>
  <c r="G1444" i="4"/>
  <c r="G1443" i="4"/>
  <c r="G1442" i="4"/>
  <c r="G1441" i="4"/>
  <c r="G1440" i="4"/>
  <c r="G1439" i="4"/>
  <c r="G1438" i="4"/>
  <c r="G1437" i="4"/>
  <c r="G1436" i="4"/>
  <c r="N1436" i="4" s="1"/>
  <c r="D146" i="8"/>
  <c r="D151" i="8" s="1"/>
  <c r="H158" i="8"/>
  <c r="I157" i="8"/>
  <c r="J157" i="8" s="1"/>
  <c r="J156" i="8"/>
  <c r="J165" i="8"/>
  <c r="J167" i="8" s="1"/>
  <c r="I162" i="8"/>
  <c r="J162" i="8" s="1"/>
  <c r="I163" i="8"/>
  <c r="I174" i="8" s="1"/>
  <c r="I184" i="8" s="1"/>
  <c r="I189" i="8" s="1"/>
  <c r="J159" i="8"/>
  <c r="I164" i="8"/>
  <c r="H162" i="8"/>
  <c r="H163" i="8"/>
  <c r="H174" i="8" s="1"/>
  <c r="H184" i="8" s="1"/>
  <c r="H189" i="8" s="1"/>
  <c r="H164" i="8"/>
  <c r="B284" i="5"/>
  <c r="B1033" i="6"/>
  <c r="F151" i="4"/>
  <c r="F540" i="6"/>
  <c r="F544" i="6" s="1"/>
  <c r="F427" i="6" s="1"/>
  <c r="F539" i="6"/>
  <c r="J267" i="8"/>
  <c r="J268" i="8" s="1"/>
  <c r="H267" i="8"/>
  <c r="H268" i="8" s="1"/>
  <c r="F267" i="8"/>
  <c r="F268" i="8" s="1"/>
  <c r="E267" i="8"/>
  <c r="E268" i="8" s="1"/>
  <c r="D268" i="8"/>
  <c r="K436" i="6"/>
  <c r="I416" i="6" s="1"/>
  <c r="J416" i="6" s="1"/>
  <c r="J414" i="6"/>
  <c r="O169" i="6"/>
  <c r="D67" i="6"/>
  <c r="F113" i="6" s="1"/>
  <c r="D53" i="6"/>
  <c r="D165" i="6" s="1"/>
  <c r="D41" i="6"/>
  <c r="D45" i="6" s="1"/>
  <c r="D46" i="6" s="1"/>
  <c r="G138" i="6"/>
  <c r="G139" i="6" s="1"/>
  <c r="F138" i="6"/>
  <c r="F139" i="6" s="1"/>
  <c r="F543" i="6"/>
  <c r="F436" i="6"/>
  <c r="D425" i="6" s="1"/>
  <c r="F439" i="6"/>
  <c r="D427" i="6" s="1"/>
  <c r="K439" i="6"/>
  <c r="K416" i="6"/>
  <c r="K414" i="6"/>
  <c r="F424" i="6"/>
  <c r="F434" i="6"/>
  <c r="D423" i="6" s="1"/>
  <c r="F435" i="6"/>
  <c r="D421" i="6" s="1"/>
  <c r="H421" i="6" s="1"/>
  <c r="I421" i="6" s="1"/>
  <c r="J421" i="6" s="1"/>
  <c r="O176" i="4"/>
  <c r="O177" i="4" s="1"/>
  <c r="N176" i="4"/>
  <c r="N177" i="4" s="1"/>
  <c r="M176" i="4"/>
  <c r="M177" i="4" s="1"/>
  <c r="L176" i="4"/>
  <c r="L177" i="4" s="1"/>
  <c r="O181" i="4"/>
  <c r="N181" i="4"/>
  <c r="M181" i="4"/>
  <c r="P107" i="4" s="1"/>
  <c r="L181" i="4"/>
  <c r="O201" i="4"/>
  <c r="O197" i="4" s="1"/>
  <c r="I201" i="4"/>
  <c r="I197" i="4" s="1"/>
  <c r="O174" i="4"/>
  <c r="N174" i="4"/>
  <c r="M174" i="4"/>
  <c r="L174" i="4"/>
  <c r="I174" i="4"/>
  <c r="N205" i="4"/>
  <c r="N201" i="4"/>
  <c r="N197" i="4" s="1"/>
  <c r="N193" i="4"/>
  <c r="N191" i="4"/>
  <c r="N180" i="4"/>
  <c r="O205" i="4"/>
  <c r="O193" i="4"/>
  <c r="O191" i="4"/>
  <c r="O180" i="4"/>
  <c r="L205" i="4"/>
  <c r="L193" i="4"/>
  <c r="L191" i="4"/>
  <c r="L180" i="4"/>
  <c r="D1407" i="4"/>
  <c r="D1408" i="4" s="1"/>
  <c r="K1402" i="4"/>
  <c r="D1403" i="4"/>
  <c r="J1403" i="4" s="1"/>
  <c r="J1402" i="4"/>
  <c r="D1401" i="4"/>
  <c r="D1397" i="4"/>
  <c r="D1393" i="4"/>
  <c r="E1418" i="4"/>
  <c r="D1404" i="4"/>
  <c r="D1414" i="4" s="1"/>
  <c r="D1415" i="4" s="1"/>
  <c r="C506" i="6"/>
  <c r="C508" i="6" s="1"/>
  <c r="H315" i="8"/>
  <c r="H322" i="8"/>
  <c r="H323" i="8" s="1"/>
  <c r="H312" i="8"/>
  <c r="H314" i="8"/>
  <c r="L299" i="8"/>
  <c r="L298" i="8"/>
  <c r="G298" i="8"/>
  <c r="I414" i="6"/>
  <c r="K435" i="6"/>
  <c r="G416" i="6" s="1"/>
  <c r="H411" i="6"/>
  <c r="H414" i="6" s="1"/>
  <c r="G411" i="6"/>
  <c r="G414" i="6" s="1"/>
  <c r="F411" i="6"/>
  <c r="F414" i="6" s="1"/>
  <c r="C425" i="6"/>
  <c r="J209" i="8"/>
  <c r="J212" i="8" s="1"/>
  <c r="J217" i="8" s="1"/>
  <c r="I209" i="8"/>
  <c r="I212" i="8" s="1"/>
  <c r="I217" i="8" s="1"/>
  <c r="C423" i="6"/>
  <c r="C421" i="6"/>
  <c r="K438" i="6"/>
  <c r="K437" i="6"/>
  <c r="K434" i="6"/>
  <c r="I374" i="6"/>
  <c r="I375" i="6"/>
  <c r="I377" i="6"/>
  <c r="I376" i="6"/>
  <c r="H374" i="6"/>
  <c r="H375" i="6"/>
  <c r="H377" i="6"/>
  <c r="H376" i="6"/>
  <c r="I385" i="6"/>
  <c r="I384" i="6"/>
  <c r="I387" i="6"/>
  <c r="I386" i="6"/>
  <c r="H385" i="6"/>
  <c r="H384" i="6"/>
  <c r="H387" i="6"/>
  <c r="H386" i="6"/>
  <c r="F385" i="6"/>
  <c r="F384" i="6"/>
  <c r="F387" i="6"/>
  <c r="F386" i="6"/>
  <c r="F374" i="6"/>
  <c r="F375" i="6"/>
  <c r="F377" i="6"/>
  <c r="F376" i="6"/>
  <c r="E385" i="6"/>
  <c r="E384" i="6"/>
  <c r="E387" i="6"/>
  <c r="E386" i="6"/>
  <c r="E377" i="6"/>
  <c r="E376" i="6"/>
  <c r="E374" i="6"/>
  <c r="E375" i="6"/>
  <c r="F357" i="6"/>
  <c r="F346" i="6"/>
  <c r="F347" i="6"/>
  <c r="F339" i="6"/>
  <c r="F340" i="6" s="1"/>
  <c r="N131" i="8"/>
  <c r="E428" i="8"/>
  <c r="G428" i="8" s="1"/>
  <c r="I428" i="8" s="1"/>
  <c r="E124" i="8"/>
  <c r="E126" i="8" s="1"/>
  <c r="D124" i="8"/>
  <c r="D126" i="8" s="1"/>
  <c r="J214" i="8"/>
  <c r="J202" i="8"/>
  <c r="J203" i="8" s="1"/>
  <c r="J200" i="8"/>
  <c r="I246" i="8"/>
  <c r="M246" i="8"/>
  <c r="I242" i="8"/>
  <c r="I240" i="8"/>
  <c r="I232" i="8"/>
  <c r="I245" i="8" s="1"/>
  <c r="F89" i="8"/>
  <c r="F88" i="8"/>
  <c r="F287" i="8"/>
  <c r="F291" i="8" s="1"/>
  <c r="F284" i="8"/>
  <c r="F282" i="8"/>
  <c r="D148" i="8"/>
  <c r="F283" i="8" s="1"/>
  <c r="H202" i="8"/>
  <c r="H203" i="8" s="1"/>
  <c r="H200" i="8"/>
  <c r="I214" i="8"/>
  <c r="I200" i="8"/>
  <c r="I202" i="8"/>
  <c r="I203" i="8" s="1"/>
  <c r="C414" i="8"/>
  <c r="C408" i="8"/>
  <c r="C410" i="8" s="1"/>
  <c r="C413" i="8" s="1"/>
  <c r="G396" i="8"/>
  <c r="G392" i="8"/>
  <c r="J260" i="8"/>
  <c r="H266" i="8"/>
  <c r="D266" i="8"/>
  <c r="G385" i="8"/>
  <c r="G381" i="8"/>
  <c r="G375" i="8"/>
  <c r="G377" i="8" s="1"/>
  <c r="G369" i="8"/>
  <c r="G370" i="8" s="1"/>
  <c r="G361" i="8"/>
  <c r="G359" i="8"/>
  <c r="J266" i="8"/>
  <c r="F266" i="8"/>
  <c r="D336" i="8"/>
  <c r="D337" i="8" s="1"/>
  <c r="D341" i="8" s="1"/>
  <c r="J277" i="8"/>
  <c r="E262" i="8"/>
  <c r="E266" i="8" s="1"/>
  <c r="E53" i="6"/>
  <c r="E165" i="6" s="1"/>
  <c r="C325" i="6"/>
  <c r="C327" i="6" s="1"/>
  <c r="G158" i="7"/>
  <c r="G156" i="7"/>
  <c r="G157" i="7" s="1"/>
  <c r="G150" i="7"/>
  <c r="G151" i="7" s="1"/>
  <c r="G116" i="7"/>
  <c r="H95" i="7"/>
  <c r="H97" i="7" s="1"/>
  <c r="I81" i="7"/>
  <c r="I83" i="7" s="1"/>
  <c r="I85" i="7" s="1"/>
  <c r="H81" i="7"/>
  <c r="H83" i="7" s="1"/>
  <c r="H85" i="7" s="1"/>
  <c r="C246" i="5"/>
  <c r="D246" i="5" s="1"/>
  <c r="C250" i="5"/>
  <c r="D250" i="5" s="1"/>
  <c r="C247" i="5"/>
  <c r="E247" i="5" s="1"/>
  <c r="F247" i="5" s="1"/>
  <c r="C249" i="5"/>
  <c r="D249" i="5" s="1"/>
  <c r="C248" i="5"/>
  <c r="D248" i="5" s="1"/>
  <c r="G320" i="6"/>
  <c r="F299" i="6"/>
  <c r="F300" i="6" s="1"/>
  <c r="F301" i="6" s="1"/>
  <c r="C307" i="6"/>
  <c r="G301" i="6"/>
  <c r="G305" i="6"/>
  <c r="J169" i="6"/>
  <c r="E172" i="6"/>
  <c r="D172" i="6"/>
  <c r="D177" i="6" s="1"/>
  <c r="E177" i="6" s="1"/>
  <c r="D202" i="6"/>
  <c r="D203" i="6" s="1"/>
  <c r="D204" i="6" s="1"/>
  <c r="F166" i="6"/>
  <c r="F165" i="6"/>
  <c r="F164" i="6"/>
  <c r="E164" i="6"/>
  <c r="D164" i="6"/>
  <c r="D162" i="6"/>
  <c r="D161" i="6"/>
  <c r="D160" i="6"/>
  <c r="B160" i="6"/>
  <c r="E202" i="6"/>
  <c r="E203" i="6" s="1"/>
  <c r="E204" i="6" s="1"/>
  <c r="G5" i="7"/>
  <c r="G6" i="7" s="1"/>
  <c r="Q97" i="6"/>
  <c r="Q98" i="6" s="1"/>
  <c r="O97" i="6"/>
  <c r="G60" i="7"/>
  <c r="G65" i="7" s="1"/>
  <c r="G67" i="7" s="1"/>
  <c r="G48" i="7"/>
  <c r="G49" i="7" s="1"/>
  <c r="F52" i="7" s="1"/>
  <c r="I54" i="7"/>
  <c r="J54" i="7" s="1"/>
  <c r="G16" i="7"/>
  <c r="G27" i="7"/>
  <c r="G29" i="7" s="1"/>
  <c r="G30" i="7" s="1"/>
  <c r="G31" i="7" s="1"/>
  <c r="G9" i="7"/>
  <c r="G10" i="7" s="1"/>
  <c r="G28" i="7"/>
  <c r="D157" i="6"/>
  <c r="G131" i="6"/>
  <c r="G132" i="6" s="1"/>
  <c r="E186" i="6"/>
  <c r="L87" i="6"/>
  <c r="L88" i="6" s="1"/>
  <c r="L89" i="6" s="1"/>
  <c r="E82" i="6"/>
  <c r="D82" i="6"/>
  <c r="E91" i="6"/>
  <c r="E93" i="6" s="1"/>
  <c r="E125" i="6" s="1"/>
  <c r="D102" i="6"/>
  <c r="E99" i="6"/>
  <c r="D191" i="6"/>
  <c r="F191" i="6" s="1"/>
  <c r="D150" i="6"/>
  <c r="D156" i="6"/>
  <c r="D210" i="6"/>
  <c r="E103" i="6"/>
  <c r="E65" i="6"/>
  <c r="E68" i="6" s="1"/>
  <c r="D65" i="6"/>
  <c r="D68" i="6" s="1"/>
  <c r="D90" i="6"/>
  <c r="D91" i="6" s="1"/>
  <c r="E88" i="6"/>
  <c r="D88" i="6"/>
  <c r="F67" i="6"/>
  <c r="F65" i="6"/>
  <c r="F68" i="6" s="1"/>
  <c r="E67" i="6"/>
  <c r="E285" i="6"/>
  <c r="E282" i="6"/>
  <c r="E280" i="6"/>
  <c r="E278" i="6"/>
  <c r="G61" i="7"/>
  <c r="G54" i="7"/>
  <c r="F251" i="4"/>
  <c r="F252" i="4"/>
  <c r="F255" i="4"/>
  <c r="F256" i="4" s="1"/>
  <c r="E89" i="5"/>
  <c r="E90" i="5" s="1"/>
  <c r="D89" i="5"/>
  <c r="D90" i="5" s="1"/>
  <c r="M205" i="4"/>
  <c r="M201" i="4"/>
  <c r="M197" i="4" s="1"/>
  <c r="M193" i="4"/>
  <c r="M191" i="4"/>
  <c r="D129" i="4"/>
  <c r="D130" i="4"/>
  <c r="F159" i="4"/>
  <c r="F139" i="4"/>
  <c r="I205" i="4"/>
  <c r="K117" i="4"/>
  <c r="I193" i="4"/>
  <c r="I191" i="4"/>
  <c r="L107" i="4"/>
  <c r="L103" i="4"/>
  <c r="K103" i="4"/>
  <c r="J103" i="4"/>
  <c r="L118" i="4" s="1"/>
  <c r="L119" i="4" s="1"/>
  <c r="I103" i="4"/>
  <c r="K118" i="4" s="1"/>
  <c r="K119" i="4" s="1"/>
  <c r="H103" i="4"/>
  <c r="G103" i="4"/>
  <c r="F103" i="4"/>
  <c r="I118" i="4" s="1"/>
  <c r="I119" i="4" s="1"/>
  <c r="G121" i="4" s="1"/>
  <c r="L100" i="4"/>
  <c r="K100" i="4"/>
  <c r="J100" i="4"/>
  <c r="I100" i="4"/>
  <c r="H100" i="4"/>
  <c r="G100" i="4"/>
  <c r="F100" i="4"/>
  <c r="F101" i="4" s="1"/>
  <c r="I117" i="4"/>
  <c r="F88" i="4"/>
  <c r="F86" i="4"/>
  <c r="F87" i="4" s="1"/>
  <c r="F140" i="4" l="1"/>
  <c r="F148" i="4" s="1"/>
  <c r="F756" i="4"/>
  <c r="Q929" i="4"/>
  <c r="D125" i="8"/>
  <c r="F288" i="8"/>
  <c r="G398" i="8"/>
  <c r="G400" i="8" s="1"/>
  <c r="E249" i="5"/>
  <c r="F249" i="5" s="1"/>
  <c r="E248" i="5"/>
  <c r="F248" i="5" s="1"/>
  <c r="E250" i="5"/>
  <c r="F250" i="5" s="1"/>
  <c r="J158" i="8"/>
  <c r="J173" i="8" s="1"/>
  <c r="J183" i="8" s="1"/>
  <c r="J188" i="8" s="1"/>
  <c r="G132" i="8"/>
  <c r="J132" i="8" s="1"/>
  <c r="J164" i="8"/>
  <c r="I176" i="4"/>
  <c r="H599" i="8"/>
  <c r="U929" i="4"/>
  <c r="T929" i="4" s="1"/>
  <c r="S929" i="4" s="1"/>
  <c r="R929" i="4" s="1"/>
  <c r="U819" i="4"/>
  <c r="T819" i="4" s="1"/>
  <c r="S819" i="4" s="1"/>
  <c r="G826" i="4" s="1"/>
  <c r="I826" i="4" s="1"/>
  <c r="J826" i="4" s="1"/>
  <c r="F754" i="4"/>
  <c r="H754" i="4" s="1"/>
  <c r="I754" i="4" s="1"/>
  <c r="D1040" i="4"/>
  <c r="K928" i="4"/>
  <c r="K1403" i="4"/>
  <c r="K1404" i="4" s="1"/>
  <c r="O198" i="4"/>
  <c r="E1040" i="4"/>
  <c r="E1045" i="4"/>
  <c r="E1052" i="4"/>
  <c r="E1053" i="4" s="1"/>
  <c r="K929" i="4"/>
  <c r="J929" i="4" s="1"/>
  <c r="N1437" i="4"/>
  <c r="N1444" i="4"/>
  <c r="L820" i="4"/>
  <c r="K820" i="4" s="1"/>
  <c r="J820" i="4" s="1"/>
  <c r="I820" i="4" s="1"/>
  <c r="L198" i="4"/>
  <c r="E299" i="4" s="1"/>
  <c r="O1229" i="4" s="1"/>
  <c r="P1229" i="4" s="1"/>
  <c r="J760" i="4"/>
  <c r="K760" i="4" s="1"/>
  <c r="M34" i="9" s="1"/>
  <c r="AA218" i="4"/>
  <c r="I210" i="8"/>
  <c r="I211" i="8" s="1"/>
  <c r="G382" i="8"/>
  <c r="H173" i="8"/>
  <c r="H183" i="8" s="1"/>
  <c r="H188" i="8" s="1"/>
  <c r="L551" i="8"/>
  <c r="L556" i="8" s="1"/>
  <c r="L557" i="8" s="1"/>
  <c r="H175" i="8"/>
  <c r="H185" i="8" s="1"/>
  <c r="H190" i="8" s="1"/>
  <c r="J210" i="8"/>
  <c r="J211" i="8" s="1"/>
  <c r="G135" i="8"/>
  <c r="J135" i="8" s="1"/>
  <c r="I158" i="8"/>
  <c r="I175" i="8" s="1"/>
  <c r="I185" i="8" s="1"/>
  <c r="I190" i="8" s="1"/>
  <c r="I247" i="8"/>
  <c r="F285" i="8"/>
  <c r="I243" i="8"/>
  <c r="F289" i="8"/>
  <c r="L552" i="8"/>
  <c r="J552" i="8"/>
  <c r="J563" i="8" s="1"/>
  <c r="J568" i="8" s="1"/>
  <c r="H316" i="8"/>
  <c r="H318" i="8" s="1"/>
  <c r="K552" i="8"/>
  <c r="K563" i="8" s="1"/>
  <c r="K568" i="8" s="1"/>
  <c r="K578" i="8" s="1"/>
  <c r="G363" i="8"/>
  <c r="F264" i="8"/>
  <c r="F265" i="8" s="1"/>
  <c r="F269" i="8" s="1"/>
  <c r="D264" i="8"/>
  <c r="D265" i="8" s="1"/>
  <c r="D269" i="8" s="1"/>
  <c r="D270" i="8" s="1"/>
  <c r="J264" i="8"/>
  <c r="J265" i="8" s="1"/>
  <c r="J269" i="8" s="1"/>
  <c r="J270" i="8" s="1"/>
  <c r="E264" i="8"/>
  <c r="E265" i="8" s="1"/>
  <c r="E269" i="8" s="1"/>
  <c r="E270" i="8" s="1"/>
  <c r="H264" i="8"/>
  <c r="H265" i="8" s="1"/>
  <c r="H269" i="8" s="1"/>
  <c r="H270" i="8" s="1"/>
  <c r="C415" i="8"/>
  <c r="C417" i="8" s="1"/>
  <c r="I220" i="8"/>
  <c r="I221" i="8" s="1"/>
  <c r="I226" i="8"/>
  <c r="I219" i="8"/>
  <c r="I235" i="8" s="1"/>
  <c r="I236" i="8" s="1"/>
  <c r="I249" i="8" s="1"/>
  <c r="I250" i="8" s="1"/>
  <c r="I253" i="8" s="1"/>
  <c r="I255" i="8" s="1"/>
  <c r="K556" i="8"/>
  <c r="K557" i="8" s="1"/>
  <c r="K562" i="8"/>
  <c r="K567" i="8" s="1"/>
  <c r="J226" i="8"/>
  <c r="J219" i="8"/>
  <c r="J220" i="8"/>
  <c r="J221" i="8" s="1"/>
  <c r="E125" i="8"/>
  <c r="J163" i="8"/>
  <c r="J174" i="8" s="1"/>
  <c r="J184" i="8" s="1"/>
  <c r="J189" i="8" s="1"/>
  <c r="H161" i="8"/>
  <c r="H172" i="8" s="1"/>
  <c r="J551" i="8"/>
  <c r="I161" i="8"/>
  <c r="G386" i="8"/>
  <c r="F545" i="6"/>
  <c r="F426" i="6" s="1"/>
  <c r="D42" i="6"/>
  <c r="D158" i="6" s="1"/>
  <c r="H427" i="6"/>
  <c r="I427" i="6" s="1"/>
  <c r="J427" i="6" s="1"/>
  <c r="F541" i="6"/>
  <c r="E107" i="6"/>
  <c r="F542" i="6"/>
  <c r="F546" i="6" s="1"/>
  <c r="E54" i="6"/>
  <c r="F378" i="6"/>
  <c r="H378" i="6"/>
  <c r="D54" i="6"/>
  <c r="D98" i="6" s="1"/>
  <c r="E388" i="6"/>
  <c r="J417" i="6"/>
  <c r="G140" i="6"/>
  <c r="G142" i="6" s="1"/>
  <c r="F416" i="6"/>
  <c r="F417" i="6" s="1"/>
  <c r="D1041" i="6"/>
  <c r="E246" i="5"/>
  <c r="F246" i="5" s="1"/>
  <c r="D247" i="5"/>
  <c r="K101" i="4"/>
  <c r="H928" i="4"/>
  <c r="U927" i="4"/>
  <c r="T927" i="4" s="1"/>
  <c r="S927" i="4" s="1"/>
  <c r="R927" i="4" s="1"/>
  <c r="V831" i="4"/>
  <c r="M110" i="4"/>
  <c r="M111" i="4" s="1"/>
  <c r="M112" i="4" s="1"/>
  <c r="I182" i="4"/>
  <c r="N1442" i="4"/>
  <c r="N1443" i="4"/>
  <c r="L821" i="4"/>
  <c r="K821" i="4" s="1"/>
  <c r="J821" i="4" s="1"/>
  <c r="I821" i="4" s="1"/>
  <c r="K927" i="4"/>
  <c r="J927" i="4" s="1"/>
  <c r="J1404" i="4"/>
  <c r="N1441" i="4"/>
  <c r="N1449" i="4"/>
  <c r="H562" i="4"/>
  <c r="L934" i="4"/>
  <c r="L935" i="4" s="1"/>
  <c r="G935" i="4"/>
  <c r="G936" i="4" s="1"/>
  <c r="G937" i="4" s="1"/>
  <c r="H937" i="4" s="1"/>
  <c r="I937" i="4" s="1"/>
  <c r="D1402" i="4"/>
  <c r="O754" i="4"/>
  <c r="D1051" i="4"/>
  <c r="I762" i="4"/>
  <c r="O761" i="4"/>
  <c r="N1438" i="4"/>
  <c r="N1445" i="4"/>
  <c r="N1439" i="4"/>
  <c r="N1446" i="4"/>
  <c r="U826" i="4"/>
  <c r="V826" i="4" s="1"/>
  <c r="N1447" i="4"/>
  <c r="N198" i="4"/>
  <c r="D1035" i="4"/>
  <c r="O40" i="9" s="1"/>
  <c r="D1037" i="4"/>
  <c r="AC934" i="4"/>
  <c r="J110" i="4"/>
  <c r="J111" i="4" s="1"/>
  <c r="J112" i="4" s="1"/>
  <c r="I110" i="4"/>
  <c r="I111" i="4" s="1"/>
  <c r="I112" i="4" s="1"/>
  <c r="F89" i="4"/>
  <c r="F91" i="4" s="1"/>
  <c r="J762" i="4"/>
  <c r="U928" i="4"/>
  <c r="T928" i="4" s="1"/>
  <c r="S928" i="4" s="1"/>
  <c r="R928" i="4" s="1"/>
  <c r="J1057" i="4"/>
  <c r="F1022" i="4" s="1"/>
  <c r="D1045" i="4"/>
  <c r="Z218" i="4"/>
  <c r="I101" i="4"/>
  <c r="G122" i="4"/>
  <c r="G123" i="4" s="1"/>
  <c r="N1450" i="4"/>
  <c r="F1052" i="4"/>
  <c r="F1053" i="4" s="1"/>
  <c r="Y218" i="4"/>
  <c r="G101" i="4"/>
  <c r="H101" i="4"/>
  <c r="I371" i="4"/>
  <c r="L101" i="4"/>
  <c r="J101" i="4"/>
  <c r="F141" i="4"/>
  <c r="F143" i="4" s="1"/>
  <c r="F144" i="4" s="1"/>
  <c r="O762" i="4"/>
  <c r="Q762" i="4" s="1"/>
  <c r="O35" i="9" s="1"/>
  <c r="E1037" i="4"/>
  <c r="F152" i="4"/>
  <c r="F154" i="4" s="1"/>
  <c r="W754" i="4"/>
  <c r="L110" i="4"/>
  <c r="F260" i="4" s="1"/>
  <c r="F261" i="4" s="1"/>
  <c r="G159" i="7"/>
  <c r="F53" i="7"/>
  <c r="G52" i="7"/>
  <c r="I52" i="7"/>
  <c r="J52" i="7" s="1"/>
  <c r="G18" i="7"/>
  <c r="G12" i="7"/>
  <c r="G13" i="7" s="1"/>
  <c r="G19" i="7" s="1"/>
  <c r="G22" i="7" s="1"/>
  <c r="G23" i="7" s="1"/>
  <c r="G24" i="7" s="1"/>
  <c r="G72" i="7"/>
  <c r="G71" i="7" s="1"/>
  <c r="I95" i="7"/>
  <c r="H755" i="4"/>
  <c r="I755" i="4" s="1"/>
  <c r="G756" i="4"/>
  <c r="H756" i="4" s="1"/>
  <c r="I756" i="4" s="1"/>
  <c r="M198" i="4"/>
  <c r="J226" i="4"/>
  <c r="J228" i="4" s="1"/>
  <c r="J231" i="4" s="1"/>
  <c r="J233" i="4" s="1"/>
  <c r="J223" i="4"/>
  <c r="N1448" i="4"/>
  <c r="I563" i="4"/>
  <c r="J764" i="4"/>
  <c r="F733" i="4" s="1"/>
  <c r="F26" i="9" s="1"/>
  <c r="R821" i="4"/>
  <c r="G828" i="4"/>
  <c r="AA832" i="4" s="1"/>
  <c r="AD832" i="4" s="1"/>
  <c r="L108" i="4"/>
  <c r="I177" i="4"/>
  <c r="AA830" i="4"/>
  <c r="AD830" i="4" s="1"/>
  <c r="I819" i="4"/>
  <c r="F1045" i="4"/>
  <c r="F1034" i="4"/>
  <c r="J968" i="4"/>
  <c r="F891" i="4" s="1"/>
  <c r="F28" i="9" s="1"/>
  <c r="I223" i="4"/>
  <c r="I226" i="4"/>
  <c r="I228" i="4" s="1"/>
  <c r="I231" i="4" s="1"/>
  <c r="I233" i="4" s="1"/>
  <c r="I564" i="4"/>
  <c r="H564" i="4"/>
  <c r="G1051" i="4"/>
  <c r="G827" i="4"/>
  <c r="AA831" i="4" s="1"/>
  <c r="AD831" i="4" s="1"/>
  <c r="R820" i="4"/>
  <c r="O826" i="4"/>
  <c r="P826" i="4" s="1"/>
  <c r="N827" i="4"/>
  <c r="O827" i="4" s="1"/>
  <c r="P827" i="4" s="1"/>
  <c r="G223" i="4"/>
  <c r="G226" i="4"/>
  <c r="G228" i="4" s="1"/>
  <c r="G231" i="4" s="1"/>
  <c r="G233" i="4" s="1"/>
  <c r="D1409" i="4"/>
  <c r="D1410" i="4" s="1"/>
  <c r="D1411" i="4" s="1"/>
  <c r="N1440" i="4"/>
  <c r="I561" i="4"/>
  <c r="F223" i="4"/>
  <c r="F226" i="4"/>
  <c r="F228" i="4" s="1"/>
  <c r="F231" i="4" s="1"/>
  <c r="F233" i="4" s="1"/>
  <c r="I198" i="4"/>
  <c r="H827" i="4"/>
  <c r="F1040" i="4"/>
  <c r="J833" i="4"/>
  <c r="F787" i="4" s="1"/>
  <c r="F27" i="9" s="1"/>
  <c r="H226" i="4"/>
  <c r="H228" i="4" s="1"/>
  <c r="H231" i="4" s="1"/>
  <c r="H233" i="4" s="1"/>
  <c r="H223" i="4"/>
  <c r="S755" i="4"/>
  <c r="W755" i="4" s="1"/>
  <c r="P761" i="4"/>
  <c r="W753" i="4"/>
  <c r="G110" i="4"/>
  <c r="G111" i="4" s="1"/>
  <c r="G112" i="4" s="1"/>
  <c r="I761" i="4"/>
  <c r="O760" i="4"/>
  <c r="P760" i="4"/>
  <c r="D93" i="6"/>
  <c r="D125" i="6" s="1"/>
  <c r="G127" i="6" s="1"/>
  <c r="F189" i="6" s="1"/>
  <c r="D189" i="6" s="1"/>
  <c r="E189" i="6" s="1"/>
  <c r="D107" i="6"/>
  <c r="F348" i="6"/>
  <c r="F351" i="6" s="1"/>
  <c r="F353" i="6" s="1"/>
  <c r="I417" i="6"/>
  <c r="E191" i="6"/>
  <c r="F140" i="6"/>
  <c r="F142" i="6" s="1"/>
  <c r="E286" i="6"/>
  <c r="F114" i="6"/>
  <c r="H114" i="6" s="1"/>
  <c r="I114" i="6" s="1"/>
  <c r="J114" i="6" s="1"/>
  <c r="K114" i="6" s="1"/>
  <c r="H113" i="6"/>
  <c r="I113" i="6" s="1"/>
  <c r="J113" i="6" s="1"/>
  <c r="K113" i="6" s="1"/>
  <c r="F388" i="6"/>
  <c r="I388" i="6"/>
  <c r="I378" i="6"/>
  <c r="E378" i="6"/>
  <c r="K417" i="6"/>
  <c r="H388" i="6"/>
  <c r="G417" i="6"/>
  <c r="F190" i="6"/>
  <c r="D190" i="6" s="1"/>
  <c r="E190" i="6" s="1"/>
  <c r="G303" i="6"/>
  <c r="H423" i="6"/>
  <c r="I423" i="6" s="1"/>
  <c r="J423" i="6" s="1"/>
  <c r="D424" i="6"/>
  <c r="H424" i="6" s="1"/>
  <c r="I424" i="6" s="1"/>
  <c r="J424" i="6" s="1"/>
  <c r="D426" i="6"/>
  <c r="H425" i="6"/>
  <c r="I425" i="6" s="1"/>
  <c r="J425" i="6" s="1"/>
  <c r="D1051" i="6"/>
  <c r="E283" i="6"/>
  <c r="H416" i="6"/>
  <c r="H417" i="6" s="1"/>
  <c r="D422" i="6"/>
  <c r="H422" i="6" s="1"/>
  <c r="I422" i="6" s="1"/>
  <c r="J422" i="6" s="1"/>
  <c r="L90" i="6"/>
  <c r="L182" i="4" l="1"/>
  <c r="L183" i="4" s="1"/>
  <c r="L184" i="4" s="1"/>
  <c r="L185" i="4" s="1"/>
  <c r="L187" i="4" s="1"/>
  <c r="Q182" i="4"/>
  <c r="Q183" i="4" s="1"/>
  <c r="Q184" i="4" s="1"/>
  <c r="P182" i="4"/>
  <c r="P183" i="4" s="1"/>
  <c r="P184" i="4" s="1"/>
  <c r="R819" i="4"/>
  <c r="X819" i="4" s="1"/>
  <c r="E166" i="6"/>
  <c r="E168" i="6" s="1"/>
  <c r="E173" i="6" s="1"/>
  <c r="E57" i="6"/>
  <c r="E58" i="6" s="1"/>
  <c r="J175" i="8"/>
  <c r="J185" i="8" s="1"/>
  <c r="J190" i="8" s="1"/>
  <c r="L553" i="8"/>
  <c r="L554" i="8" s="1"/>
  <c r="L564" i="8" s="1"/>
  <c r="L565" i="8" s="1"/>
  <c r="L562" i="8"/>
  <c r="L567" i="8" s="1"/>
  <c r="L577" i="8" s="1"/>
  <c r="I367" i="4"/>
  <c r="X928" i="4"/>
  <c r="O1227" i="4"/>
  <c r="P1227" i="4" s="1"/>
  <c r="O1228" i="4"/>
  <c r="P1228" i="4" s="1"/>
  <c r="J561" i="4"/>
  <c r="K561" i="4" s="1"/>
  <c r="N365" i="4"/>
  <c r="R761" i="4"/>
  <c r="L761" i="4"/>
  <c r="J562" i="4"/>
  <c r="K562" i="4" s="1"/>
  <c r="X929" i="4"/>
  <c r="Q761" i="4"/>
  <c r="N35" i="9" s="1"/>
  <c r="O821" i="4"/>
  <c r="J928" i="4"/>
  <c r="I928" i="4" s="1"/>
  <c r="N928" i="4" s="1"/>
  <c r="X927" i="4"/>
  <c r="O820" i="4"/>
  <c r="R762" i="4"/>
  <c r="W929" i="4"/>
  <c r="N820" i="4"/>
  <c r="N36" i="9" s="1"/>
  <c r="F936" i="4"/>
  <c r="H936" i="4" s="1"/>
  <c r="I936" i="4" s="1"/>
  <c r="I929" i="4"/>
  <c r="O929" i="4" s="1"/>
  <c r="J475" i="4"/>
  <c r="J563" i="4"/>
  <c r="K563" i="4" s="1"/>
  <c r="N367" i="4"/>
  <c r="I366" i="4"/>
  <c r="J473" i="4"/>
  <c r="N366" i="4"/>
  <c r="J474" i="4"/>
  <c r="M182" i="4"/>
  <c r="M183" i="4" s="1"/>
  <c r="M184" i="4" s="1"/>
  <c r="M189" i="4" s="1"/>
  <c r="N182" i="4"/>
  <c r="N183" i="4" s="1"/>
  <c r="N184" i="4" s="1"/>
  <c r="N185" i="4" s="1"/>
  <c r="E1041" i="4"/>
  <c r="J564" i="4"/>
  <c r="K564" i="4" s="1"/>
  <c r="F1041" i="4"/>
  <c r="I365" i="4"/>
  <c r="D1041" i="4"/>
  <c r="J472" i="4"/>
  <c r="L760" i="4"/>
  <c r="R760" i="4"/>
  <c r="W927" i="4"/>
  <c r="L762" i="4"/>
  <c r="K553" i="8"/>
  <c r="K554" i="8" s="1"/>
  <c r="K564" i="8" s="1"/>
  <c r="K565" i="8" s="1"/>
  <c r="K559" i="8"/>
  <c r="K560" i="8" s="1"/>
  <c r="I173" i="8"/>
  <c r="I183" i="8" s="1"/>
  <c r="I188" i="8" s="1"/>
  <c r="L186" i="4"/>
  <c r="F292" i="8"/>
  <c r="J559" i="8"/>
  <c r="J560" i="8" s="1"/>
  <c r="L559" i="8"/>
  <c r="L560" i="8" s="1"/>
  <c r="L563" i="8"/>
  <c r="L568" i="8" s="1"/>
  <c r="L572" i="8" s="1"/>
  <c r="L584" i="8" s="1"/>
  <c r="K572" i="8"/>
  <c r="K584" i="8" s="1"/>
  <c r="J161" i="8"/>
  <c r="J172" i="8" s="1"/>
  <c r="I172" i="8"/>
  <c r="H277" i="8"/>
  <c r="F270" i="8"/>
  <c r="J572" i="8"/>
  <c r="J584" i="8" s="1"/>
  <c r="J578" i="8"/>
  <c r="H182" i="8"/>
  <c r="H187" i="8" s="1"/>
  <c r="H176" i="8"/>
  <c r="H179" i="8" s="1"/>
  <c r="J556" i="8"/>
  <c r="J557" i="8" s="1"/>
  <c r="J553" i="8"/>
  <c r="J554" i="8" s="1"/>
  <c r="J564" i="8" s="1"/>
  <c r="J565" i="8" s="1"/>
  <c r="J562" i="8"/>
  <c r="J567" i="8" s="1"/>
  <c r="K569" i="8"/>
  <c r="K571" i="8"/>
  <c r="K577" i="8"/>
  <c r="K579" i="8" s="1"/>
  <c r="D1053" i="6"/>
  <c r="H426" i="6"/>
  <c r="I426" i="6" s="1"/>
  <c r="J426" i="6" s="1"/>
  <c r="D123" i="6"/>
  <c r="D166" i="6"/>
  <c r="D168" i="6" s="1"/>
  <c r="D173" i="6" s="1"/>
  <c r="E123" i="6"/>
  <c r="M92" i="6"/>
  <c r="M91" i="6" s="1"/>
  <c r="M90" i="6" s="1"/>
  <c r="M89" i="6" s="1"/>
  <c r="M88" i="6" s="1"/>
  <c r="M87" i="6" s="1"/>
  <c r="M86" i="6" s="1"/>
  <c r="Q86" i="6" s="1"/>
  <c r="W928" i="4"/>
  <c r="N821" i="4"/>
  <c r="O36" i="9" s="1"/>
  <c r="I183" i="4"/>
  <c r="I184" i="4" s="1"/>
  <c r="F934" i="4"/>
  <c r="I927" i="4"/>
  <c r="F1023" i="4"/>
  <c r="G29" i="9" s="1"/>
  <c r="F29" i="9"/>
  <c r="O182" i="4"/>
  <c r="O183" i="4" s="1"/>
  <c r="O184" i="4" s="1"/>
  <c r="O185" i="4" s="1"/>
  <c r="O187" i="4" s="1"/>
  <c r="K762" i="4"/>
  <c r="O34" i="9" s="1"/>
  <c r="Q760" i="4"/>
  <c r="M35" i="9" s="1"/>
  <c r="L111" i="4"/>
  <c r="L112" i="4" s="1"/>
  <c r="G53" i="7"/>
  <c r="G55" i="7" s="1"/>
  <c r="I53" i="7"/>
  <c r="J53" i="7" s="1"/>
  <c r="J55" i="7" s="1"/>
  <c r="I97" i="7"/>
  <c r="J95" i="7"/>
  <c r="G32" i="7"/>
  <c r="G33" i="7" s="1"/>
  <c r="G34" i="7" s="1"/>
  <c r="G38" i="7" s="1"/>
  <c r="G39" i="7" s="1"/>
  <c r="F234" i="4"/>
  <c r="F235" i="4" s="1"/>
  <c r="K761" i="4"/>
  <c r="N34" i="9" s="1"/>
  <c r="I234" i="4"/>
  <c r="I235" i="4" s="1"/>
  <c r="W821" i="4"/>
  <c r="O37" i="9" s="1"/>
  <c r="X821" i="4"/>
  <c r="H234" i="4"/>
  <c r="H235" i="4" s="1"/>
  <c r="I827" i="4"/>
  <c r="J827" i="4" s="1"/>
  <c r="H828" i="4"/>
  <c r="I828" i="4" s="1"/>
  <c r="J828" i="4" s="1"/>
  <c r="W820" i="4"/>
  <c r="N37" i="9" s="1"/>
  <c r="X820" i="4"/>
  <c r="L936" i="4"/>
  <c r="F1037" i="4"/>
  <c r="F1035" i="4"/>
  <c r="F892" i="4"/>
  <c r="G28" i="9" s="1"/>
  <c r="N819" i="4"/>
  <c r="M36" i="9" s="1"/>
  <c r="O819" i="4"/>
  <c r="J234" i="4"/>
  <c r="J235" i="4" s="1"/>
  <c r="G234" i="4"/>
  <c r="G235" i="4" s="1"/>
  <c r="F788" i="4"/>
  <c r="G27" i="9" s="1"/>
  <c r="F734" i="4"/>
  <c r="G26" i="9" s="1"/>
  <c r="D100" i="6"/>
  <c r="D103" i="6" s="1"/>
  <c r="D104" i="6" s="1"/>
  <c r="E98" i="6"/>
  <c r="D121" i="6"/>
  <c r="L91" i="6"/>
  <c r="L189" i="4" l="1"/>
  <c r="L192" i="4"/>
  <c r="W819" i="4"/>
  <c r="M37" i="9" s="1"/>
  <c r="P192" i="4"/>
  <c r="P189" i="4"/>
  <c r="P185" i="4"/>
  <c r="Q189" i="4"/>
  <c r="Q185" i="4"/>
  <c r="Q192" i="4"/>
  <c r="F178" i="6"/>
  <c r="D178" i="6" s="1"/>
  <c r="E174" i="6"/>
  <c r="E169" i="6"/>
  <c r="I189" i="6" s="1"/>
  <c r="L571" i="8"/>
  <c r="L573" i="8" s="1"/>
  <c r="F935" i="4"/>
  <c r="K935" i="4" s="1"/>
  <c r="M935" i="4" s="1"/>
  <c r="N935" i="4" s="1"/>
  <c r="N929" i="4"/>
  <c r="M185" i="4"/>
  <c r="M186" i="4" s="1"/>
  <c r="N189" i="4"/>
  <c r="N192" i="4"/>
  <c r="M192" i="4"/>
  <c r="M194" i="4" s="1"/>
  <c r="L569" i="8"/>
  <c r="O928" i="4"/>
  <c r="K936" i="4"/>
  <c r="M936" i="4" s="1"/>
  <c r="N936" i="4" s="1"/>
  <c r="J941" i="4"/>
  <c r="L578" i="8"/>
  <c r="L579" i="8" s="1"/>
  <c r="O189" i="4"/>
  <c r="O186" i="4"/>
  <c r="H224" i="8"/>
  <c r="H180" i="8"/>
  <c r="J571" i="8"/>
  <c r="J577" i="8"/>
  <c r="J579" i="8" s="1"/>
  <c r="J569" i="8"/>
  <c r="I176" i="8"/>
  <c r="I179" i="8" s="1"/>
  <c r="I182" i="8"/>
  <c r="I187" i="8" s="1"/>
  <c r="K583" i="8"/>
  <c r="L585" i="8" s="1"/>
  <c r="K573" i="8"/>
  <c r="J176" i="8"/>
  <c r="J179" i="8" s="1"/>
  <c r="J182" i="8"/>
  <c r="J187" i="8" s="1"/>
  <c r="G128" i="6"/>
  <c r="G68" i="6"/>
  <c r="G70" i="6" s="1"/>
  <c r="G71" i="6" s="1"/>
  <c r="F179" i="6"/>
  <c r="D179" i="6" s="1"/>
  <c r="F213" i="6"/>
  <c r="F216" i="6" s="1"/>
  <c r="G213" i="6"/>
  <c r="G214" i="6" s="1"/>
  <c r="J168" i="6"/>
  <c r="D169" i="6"/>
  <c r="H191" i="6" s="1"/>
  <c r="D213" i="6"/>
  <c r="D214" i="6" s="1"/>
  <c r="L113" i="6"/>
  <c r="L114" i="6"/>
  <c r="D174" i="6"/>
  <c r="E213" i="6"/>
  <c r="E216" i="6" s="1"/>
  <c r="Q89" i="6"/>
  <c r="Q90" i="6"/>
  <c r="Q88" i="6"/>
  <c r="Q87" i="6"/>
  <c r="O927" i="4"/>
  <c r="N927" i="4"/>
  <c r="K934" i="4"/>
  <c r="M934" i="4" s="1"/>
  <c r="N934" i="4" s="1"/>
  <c r="H934" i="4"/>
  <c r="I934" i="4" s="1"/>
  <c r="O192" i="4"/>
  <c r="I192" i="4"/>
  <c r="I189" i="4"/>
  <c r="I185" i="4"/>
  <c r="K95" i="7"/>
  <c r="J97" i="7"/>
  <c r="N187" i="4"/>
  <c r="N186" i="4"/>
  <c r="E121" i="6"/>
  <c r="E100" i="6"/>
  <c r="E104" i="6" s="1"/>
  <c r="D105" i="6"/>
  <c r="D122" i="6"/>
  <c r="Q91" i="6"/>
  <c r="L92" i="6"/>
  <c r="L194" i="4" l="1"/>
  <c r="Q194" i="4"/>
  <c r="P187" i="4"/>
  <c r="P186" i="4"/>
  <c r="Q187" i="4"/>
  <c r="Q186" i="4"/>
  <c r="P194" i="4"/>
  <c r="L583" i="8"/>
  <c r="M585" i="8" s="1"/>
  <c r="I191" i="6"/>
  <c r="E178" i="6"/>
  <c r="I190" i="6"/>
  <c r="H935" i="4"/>
  <c r="I935" i="4" s="1"/>
  <c r="N194" i="4"/>
  <c r="M187" i="4"/>
  <c r="J942" i="4"/>
  <c r="M942" i="4" s="1"/>
  <c r="M941" i="4"/>
  <c r="O194" i="4"/>
  <c r="I180" i="8"/>
  <c r="I224" i="8"/>
  <c r="J180" i="8"/>
  <c r="J224" i="8"/>
  <c r="J573" i="8"/>
  <c r="J583" i="8"/>
  <c r="K585" i="8" s="1"/>
  <c r="H192" i="8"/>
  <c r="H225" i="8"/>
  <c r="E205" i="6"/>
  <c r="E179" i="6"/>
  <c r="F214" i="6"/>
  <c r="D205" i="6"/>
  <c r="F188" i="6"/>
  <c r="F192" i="6" s="1"/>
  <c r="G216" i="6"/>
  <c r="H190" i="6"/>
  <c r="H189" i="6"/>
  <c r="F291" i="6"/>
  <c r="F293" i="6" s="1"/>
  <c r="F296" i="6" s="1"/>
  <c r="F307" i="6" s="1"/>
  <c r="F308" i="6" s="1"/>
  <c r="F309" i="6" s="1"/>
  <c r="D216" i="6"/>
  <c r="E214" i="6"/>
  <c r="I187" i="4"/>
  <c r="I186" i="4"/>
  <c r="I194" i="4"/>
  <c r="H598" i="8" s="1"/>
  <c r="K97" i="7"/>
  <c r="L95" i="7"/>
  <c r="L97" i="7" s="1"/>
  <c r="E105" i="6"/>
  <c r="E122" i="6"/>
  <c r="E124" i="6" s="1"/>
  <c r="D124" i="6"/>
  <c r="Q92" i="6"/>
  <c r="L94" i="6"/>
  <c r="H600" i="8" l="1"/>
  <c r="H603" i="8" s="1"/>
  <c r="H605" i="8" s="1"/>
  <c r="I598" i="8"/>
  <c r="H195" i="8"/>
  <c r="H197" i="8" s="1"/>
  <c r="H193" i="8"/>
  <c r="H205" i="8"/>
  <c r="J225" i="8"/>
  <c r="J192" i="8"/>
  <c r="I225" i="8"/>
  <c r="I192" i="8"/>
  <c r="D188" i="6"/>
  <c r="E188" i="6" s="1"/>
  <c r="H188" i="6"/>
  <c r="H192" i="6" s="1"/>
  <c r="I188" i="6"/>
  <c r="G307" i="6"/>
  <c r="G315" i="6" s="1"/>
  <c r="H300" i="6" s="1"/>
  <c r="G129" i="6"/>
  <c r="G130" i="6" s="1"/>
  <c r="D206" i="6"/>
  <c r="I192" i="6"/>
  <c r="E206" i="6"/>
  <c r="J598" i="8" l="1"/>
  <c r="J600" i="8" s="1"/>
  <c r="J603" i="8" s="1"/>
  <c r="J605" i="8" s="1"/>
  <c r="I600" i="8"/>
  <c r="I603" i="8" s="1"/>
  <c r="I605" i="8" s="1"/>
  <c r="I205" i="8"/>
  <c r="I193" i="8"/>
  <c r="I195" i="8"/>
  <c r="I197" i="8" s="1"/>
  <c r="J195" i="8"/>
  <c r="J197" i="8" s="1"/>
  <c r="J205" i="8"/>
  <c r="J193" i="8"/>
  <c r="D192" i="6"/>
  <c r="E192" i="6" s="1"/>
  <c r="G308" i="6"/>
  <c r="G309" i="6" s="1"/>
  <c r="H305" i="6"/>
  <c r="H301" i="6"/>
  <c r="D194" i="6" l="1"/>
  <c r="G311" i="6" s="1"/>
  <c r="I301" i="6"/>
  <c r="H303" i="6"/>
  <c r="H307" i="6" s="1"/>
  <c r="H308" i="6" s="1"/>
  <c r="H309" i="6" s="1"/>
  <c r="H311" i="6" l="1"/>
  <c r="I311" i="6"/>
  <c r="I303" i="6"/>
  <c r="I307" i="6" s="1"/>
  <c r="I308" i="6" s="1"/>
  <c r="I309" i="6" s="1"/>
  <c r="O3186" i="6"/>
  <c r="Q3186" i="6" s="1"/>
  <c r="F3187" i="6"/>
  <c r="F3192" i="6" s="1"/>
  <c r="F3188" i="6"/>
  <c r="F3193" i="6" s="1"/>
  <c r="F3189" i="6"/>
  <c r="U3193" i="6" l="1"/>
  <c r="V3193" i="6" s="1"/>
  <c r="T3193" i="6"/>
  <c r="S3186" i="6"/>
  <c r="U3186" i="6" s="1"/>
  <c r="V3186" i="6" s="1"/>
  <c r="R3186" i="6"/>
  <c r="T3186" i="6" s="1"/>
  <c r="U3192" i="6"/>
  <c r="V3192" i="6" s="1"/>
  <c r="T3192" i="6"/>
  <c r="N3188" i="6"/>
  <c r="O3188" i="6" s="1"/>
  <c r="Q3188" i="6" s="1"/>
  <c r="N3189" i="6"/>
  <c r="O3189" i="6" s="1"/>
  <c r="Q3189" i="6" s="1"/>
  <c r="N3187" i="6"/>
  <c r="O3187" i="6" s="1"/>
  <c r="Q3187" i="6" s="1"/>
  <c r="R3187" i="6" l="1"/>
  <c r="T3187" i="6" s="1"/>
  <c r="S3187" i="6"/>
  <c r="U3187" i="6" s="1"/>
  <c r="V3187" i="6" s="1"/>
  <c r="S3189" i="6"/>
  <c r="U3189" i="6" s="1"/>
  <c r="V3189" i="6" s="1"/>
  <c r="R3189" i="6"/>
  <c r="T3189" i="6" s="1"/>
  <c r="R3188" i="6"/>
  <c r="T3188" i="6" s="1"/>
  <c r="S3188" i="6"/>
  <c r="U3188" i="6" s="1"/>
  <c r="V3188" i="6" s="1"/>
  <c r="H3201" i="6"/>
  <c r="H3204" i="6" s="1"/>
  <c r="W3231" i="6" s="1"/>
  <c r="Y3231" i="6" s="1"/>
  <c r="Z3231" i="6" s="1"/>
  <c r="W3862" i="6" l="1"/>
  <c r="Y3862" i="6" s="1"/>
  <c r="Z3862" i="6" s="1"/>
  <c r="W3876" i="6"/>
  <c r="Z3876" i="6" s="1"/>
  <c r="W3218" i="6"/>
  <c r="Y3218" i="6" s="1"/>
  <c r="W3228" i="6"/>
  <c r="Y3228" i="6" s="1"/>
  <c r="Z3228" i="6" s="1"/>
  <c r="W3875" i="6"/>
  <c r="Y3875" i="6" s="1"/>
  <c r="W3872" i="6"/>
  <c r="Y3872" i="6" s="1"/>
  <c r="Z3872" i="6" s="1"/>
  <c r="Z3218" i="6"/>
  <c r="Z3234" i="6" s="1"/>
  <c r="Y3234" i="6"/>
  <c r="S3025" i="6"/>
  <c r="S3027" i="6"/>
  <c r="S3024" i="6"/>
  <c r="S3028" i="6"/>
  <c r="Y3879" i="6" l="1"/>
  <c r="Z3879" i="6"/>
</calcChain>
</file>

<file path=xl/sharedStrings.xml><?xml version="1.0" encoding="utf-8"?>
<sst xmlns="http://schemas.openxmlformats.org/spreadsheetml/2006/main" count="14404" uniqueCount="9591">
  <si>
    <t xml:space="preserve"> </t>
  </si>
  <si>
    <t>Power Voltage</t>
  </si>
  <si>
    <t>Volts</t>
  </si>
  <si>
    <t>Current</t>
  </si>
  <si>
    <t>Watts</t>
  </si>
  <si>
    <t>Amps</t>
  </si>
  <si>
    <t>HrsPerYear</t>
  </si>
  <si>
    <t>KW</t>
  </si>
  <si>
    <t>Hrs</t>
  </si>
  <si>
    <t>KwHrs</t>
  </si>
  <si>
    <t>KilloWattHours</t>
  </si>
  <si>
    <t>KilloWatts</t>
  </si>
  <si>
    <t>Cost Per KwHr</t>
  </si>
  <si>
    <t>$/KwHr</t>
  </si>
  <si>
    <t>Cost Per Year</t>
  </si>
  <si>
    <t>https://www.southwire.com/ProductCatalog/XTEInterfaceServlet?contentKey=prodcatsheet6</t>
  </si>
  <si>
    <t>Processor Sleep Power (2mA @ 3V sleep)</t>
  </si>
  <si>
    <t>Wire Gauge</t>
  </si>
  <si>
    <t>https://www.amazon.com/SouthWire-28828255-2WG-Wire-250-Feet/dp/B000W3KLKO/ref=sr_1_fkmr0_2?ie=UTF8&amp;qid=1540864590&amp;sr=8-2-fkmr0&amp;keywords=southwire+639476+250ft</t>
  </si>
  <si>
    <t>https://www.southwire.com/ProductCatalog/XTEInterfaceServlet?contentKey=prodcatsheet111</t>
  </si>
  <si>
    <t>Stock #</t>
  </si>
  <si>
    <t>Lbs/1k ft</t>
  </si>
  <si>
    <t>Power</t>
  </si>
  <si>
    <t>12/2+gnd</t>
  </si>
  <si>
    <t>Signal</t>
  </si>
  <si>
    <t>16/2</t>
  </si>
  <si>
    <t>(none)</t>
  </si>
  <si>
    <t>Romex® Brand SIMpull NM-B-PCS DUO™ Cable</t>
  </si>
  <si>
    <t>Romex® Brand SIMpull Indoor Wire Copper NM-B Cable</t>
  </si>
  <si>
    <t>Dual 3+2</t>
  </si>
  <si>
    <t>Regular 3</t>
  </si>
  <si>
    <t>https://www.southwire.com/documents/Import_09242018_R.pdf</t>
  </si>
  <si>
    <t>https://www.prnewswire.com/news-releases/southwire-announces-launch-of-romex-brand-simpull-nm-b-pcs-duo-cable-300721952.html</t>
  </si>
  <si>
    <t>http://www.nehringwire.com/solid-wire-gauge-table/</t>
  </si>
  <si>
    <t>Wire Sizes</t>
  </si>
  <si>
    <t>current</t>
  </si>
  <si>
    <t>voltage drop</t>
  </si>
  <si>
    <t>length</t>
  </si>
  <si>
    <t>amps</t>
  </si>
  <si>
    <t>volts</t>
  </si>
  <si>
    <t>ohms</t>
  </si>
  <si>
    <t>Voltage Drop across wire</t>
  </si>
  <si>
    <t>wire sizes</t>
  </si>
  <si>
    <t>telephone wire</t>
  </si>
  <si>
    <t>http://telecom.hellodirect.com/docs/Tutorials/TelWiringBasics.1.040401.asp</t>
  </si>
  <si>
    <t>http://www.nehringwire.com/copper/solid-bare-tinned-copper/</t>
  </si>
  <si>
    <t>wire properties</t>
  </si>
  <si>
    <t>Copper Usage</t>
  </si>
  <si>
    <t># of conductors</t>
  </si>
  <si>
    <t>https://www.windowmaster.com/products/window-actuators</t>
  </si>
  <si>
    <t>https://www.windowmaster.com/products/window-actuators/chain-actuators/chain-actuator-500n-2a</t>
  </si>
  <si>
    <t>Power Supply</t>
  </si>
  <si>
    <t>Awg</t>
  </si>
  <si>
    <t>Maximum Length</t>
  </si>
  <si>
    <t>meters</t>
  </si>
  <si>
    <t>Resistance</t>
  </si>
  <si>
    <t>Diameter</t>
  </si>
  <si>
    <t>inches</t>
  </si>
  <si>
    <t>mm</t>
  </si>
  <si>
    <t>Copper Weight</t>
  </si>
  <si>
    <t>LBs/1Kft</t>
  </si>
  <si>
    <t>Kg/meter</t>
  </si>
  <si>
    <t>mOhm/ft</t>
  </si>
  <si>
    <t>mOhm/meter</t>
  </si>
  <si>
    <t>voltage</t>
  </si>
  <si>
    <t>power</t>
  </si>
  <si>
    <t>Lift</t>
  </si>
  <si>
    <t>Kg</t>
  </si>
  <si>
    <t>cm/sec</t>
  </si>
  <si>
    <t>LBs</t>
  </si>
  <si>
    <t>chain-actuator-500n-2a</t>
  </si>
  <si>
    <t>DataSheet</t>
  </si>
  <si>
    <t>24Vdc,  1A, 1cm/sec, 300N (67LBs)</t>
  </si>
  <si>
    <t>Different Product</t>
  </si>
  <si>
    <t>Volts, typ</t>
  </si>
  <si>
    <t>Power @ Power Supply</t>
  </si>
  <si>
    <t>Wire To Module</t>
  </si>
  <si>
    <t>Length for (2 wires)</t>
  </si>
  <si>
    <t>awg</t>
  </si>
  <si>
    <t>ohm/meter</t>
  </si>
  <si>
    <t>Power @ Module</t>
  </si>
  <si>
    <t>Volts Max</t>
  </si>
  <si>
    <t>Volts Min</t>
  </si>
  <si>
    <t>Wire Resistance (1 wire)</t>
  </si>
  <si>
    <t>Voltage Drop (1 wire)</t>
  </si>
  <si>
    <t>Movement Rate</t>
  </si>
  <si>
    <t>seconds</t>
  </si>
  <si>
    <t>Gauge</t>
  </si>
  <si>
    <t>Cu Weight, one Conductor</t>
  </si>
  <si>
    <t>Cu Weight, All Conductors</t>
  </si>
  <si>
    <t>Ratio</t>
  </si>
  <si>
    <t>Module Power While Sleeping</t>
  </si>
  <si>
    <t>Amps, Typical</t>
  </si>
  <si>
    <t>KWHr/Yr</t>
  </si>
  <si>
    <t>Cost/Yr</t>
  </si>
  <si>
    <t>Electricity Cost</t>
  </si>
  <si>
    <t>$/KWHr</t>
  </si>
  <si>
    <t>Typical window opening products</t>
  </si>
  <si>
    <t>Model #</t>
  </si>
  <si>
    <t>Description</t>
  </si>
  <si>
    <t>Optically Isolated Triac, Summary</t>
  </si>
  <si>
    <t>https://www.fairchildsemi.com/application-notes/AN/AN-3004.pdf</t>
  </si>
  <si>
    <t>https://www.digikey.com/product-detail/en/vishay-semiconductor-opto-division/VO2223A/751-1490-5-ND/2272617</t>
  </si>
  <si>
    <t>https://www.digikey.com/products/en/isolators/optoisolators-triac-scr-output/904?k=triac</t>
  </si>
  <si>
    <t>Switch on/off 110/220VAC Device via Optically Isolated Triac</t>
  </si>
  <si>
    <t>Optically Isolated Triac, 1Amp, $0.50</t>
  </si>
  <si>
    <t>Optically Isolated triac driver (drives triac)</t>
  </si>
  <si>
    <t>Speed of electricity</t>
  </si>
  <si>
    <t>ft/nSec</t>
  </si>
  <si>
    <t>meters/ns</t>
  </si>
  <si>
    <t>time to travel dist.</t>
  </si>
  <si>
    <t>ratio of risetime/flight time</t>
  </si>
  <si>
    <t xml:space="preserve">max rise time </t>
  </si>
  <si>
    <t>Calculate Maximum Rise Time of Waveform to Avoid Ringing on Cable</t>
  </si>
  <si>
    <t>max frequency</t>
  </si>
  <si>
    <t>Hz</t>
  </si>
  <si>
    <t>Bit Rate</t>
  </si>
  <si>
    <t>bit rate</t>
  </si>
  <si>
    <t>bits/sec</t>
  </si>
  <si>
    <t>bytes/sec</t>
  </si>
  <si>
    <t>Bundle B</t>
  </si>
  <si>
    <t>Bundle A</t>
  </si>
  <si>
    <t xml:space="preserve"> "</t>
  </si>
  <si>
    <t>Cost For Wire</t>
  </si>
  <si>
    <t>https://www.grainger.com/search?searchBar=true&amp;searchQuery=cable</t>
  </si>
  <si>
    <t>Grainger #6CGV4, 18 gauge, 4 conductor, 1000 ft</t>
  </si>
  <si>
    <t>https://www.grainger.com/category/building-cable/wire-and-cable/wire-cable-and-carrier-systems/electrical/ecatalog/N-qs3</t>
  </si>
  <si>
    <t>Grainger #4WZT7, 12 gauge, 3 conductor, 1000 ft</t>
  </si>
  <si>
    <t>https://www.fixr.com/costs/electrical-wiring</t>
  </si>
  <si>
    <t>Parts and Labor Cost To Wire House</t>
  </si>
  <si>
    <t>Power Bundle</t>
  </si>
  <si>
    <t>Energy Management Bundle</t>
  </si>
  <si>
    <t>Southwire Announces Launch of Romex® Brand SIMpull® NM-B-PCS Duo™ Cable:</t>
  </si>
  <si>
    <t>Amazon Part # 28828255, 12 awg (20A), 3 conductor, 82LBs/1K ft, $260/1kft:</t>
  </si>
  <si>
    <t>southwire price list:</t>
  </si>
  <si>
    <t>ganger cable:</t>
  </si>
  <si>
    <t>ganger power cable:</t>
  </si>
  <si>
    <t>https://www.analog.com/en/products/interface-isolation.html</t>
  </si>
  <si>
    <t>Analog Devices Interface IC's</t>
  </si>
  <si>
    <t>https://www.digikey.com/products/en/integrated-circuits-ics/interface-drivers-receivers-transceivers/710?FV=ffe002c6%2C6500004%2C9080020%2C9080021%2C9080036%2C9080038%2C908003a&amp;quantity=0&amp;ColumnSort=1000011&amp;page=1&amp;nstock=1&amp;k=rs485&amp;pageSize=25&amp;pkeyword=rs485</t>
  </si>
  <si>
    <t>Digikey Rs485 IC's</t>
  </si>
  <si>
    <t>https://www.st.com/content/ccc/resource/technical/document/datasheet/4b/81/a8/cd/8a/72/47/82/CD00002183.pdf/files/CD00002183.pdf/jcr:content/translations/en.CD00002183.pdf</t>
  </si>
  <si>
    <t>#ST485CDR, 1 rcv, 1 dvr, $0.37/2.5k</t>
  </si>
  <si>
    <t>https://en.wikipedia.org/wiki/RS-485</t>
  </si>
  <si>
    <t>Rs485</t>
  </si>
  <si>
    <t>Overview</t>
  </si>
  <si>
    <t>Signal Receivers/Transmitters IC's</t>
  </si>
  <si>
    <t>distance (round trip)</t>
  </si>
  <si>
    <t>uSec</t>
  </si>
  <si>
    <t>https://datasheets.maximintegrated.com/en/ds/MAX13487E-MAX13488E.pdf</t>
  </si>
  <si>
    <t>MAX13487E</t>
  </si>
  <si>
    <t>% of 12awg</t>
  </si>
  <si>
    <t>https://www.element14.com/community/servlet/JiveServlet/previewBody/28089-102-1-77290/Designing%20Reliable%20Powerline%20Communications%20-%20EDN.pdf</t>
  </si>
  <si>
    <t>http://www.ti.com/lit/ug/tidu168/tidu168.pdf</t>
  </si>
  <si>
    <t>DC Power Line Communication</t>
  </si>
  <si>
    <t>AC Power Line Communication</t>
  </si>
  <si>
    <t>TI, Test Report: DC Power-Line Communication Reference Design</t>
  </si>
  <si>
    <t>Designing reliable power-line communications, EDN</t>
  </si>
  <si>
    <t>Designing Reliable Powerline Communications, Cypruss</t>
  </si>
  <si>
    <t>https://www.edn.com/design/communications-networking/4363863/Designing-reliable-power-line-communications</t>
  </si>
  <si>
    <t>https://www.eetimes.com/document.asp?doc_id=1278974</t>
  </si>
  <si>
    <t>Optimizing Power Line Communication for Distance, Lowest Packet Error Rates, Cost and Reliability</t>
  </si>
  <si>
    <t>https://en.wikipedia.org/wiki/Power-line_communication</t>
  </si>
  <si>
    <t>Power-line communication, wiki</t>
  </si>
  <si>
    <t>https://www.maximintegrated.com/en/products/comms/powerline-communications/MAX2990.html</t>
  </si>
  <si>
    <t>MAX2990, 10kHz to 490kHz OFDM-Based Power Line Communications Mode</t>
  </si>
  <si>
    <t>https://www.grainger.com/category/load-centers-and-panelboards/power-distribution/distribution-circuit-breakers-and-temporary-power-solutions/power-management-circuit-protection-and-distribution/electrical/ecatalog/N-qm0</t>
  </si>
  <si>
    <t>Fuse Box</t>
  </si>
  <si>
    <t>Electrical Box, Grainger</t>
  </si>
  <si>
    <t>Movement Distance</t>
  </si>
  <si>
    <t>Time to move distance</t>
  </si>
  <si>
    <t>Pwr- wire voltage wrt Earth Gnd</t>
  </si>
  <si>
    <t>Pwr+ wire voltage wrt Earth Gnd</t>
  </si>
  <si>
    <t>Pwr+ to Pwr- Wire Difference</t>
  </si>
  <si>
    <t>Running Microprocessor</t>
  </si>
  <si>
    <t>Series Resistor</t>
  </si>
  <si>
    <t>https://en.wikipedia.org/wiki/R-value_(insulation)</t>
  </si>
  <si>
    <t>Insulation</t>
  </si>
  <si>
    <t>Insulation R Value</t>
  </si>
  <si>
    <t>https://en.wikipedia.org/wiki/Insulation_(list_of_insulation_material)</t>
  </si>
  <si>
    <t>compare insulation with different material</t>
  </si>
  <si>
    <t>https://en.wikipedia.org/wiki/Superinsulation</t>
  </si>
  <si>
    <t>super insulation</t>
  </si>
  <si>
    <t>https://en.wikipedia.org/wiki/Insulating_concrete_form</t>
  </si>
  <si>
    <t>concrete insulated foam</t>
  </si>
  <si>
    <t>https://en.wikipedia.org/wiki/Building_insulation</t>
  </si>
  <si>
    <t>building insulation</t>
  </si>
  <si>
    <t>https://en.wikipedia.org/wiki/Low-energy_house</t>
  </si>
  <si>
    <t>Low-energy house</t>
  </si>
  <si>
    <t>https://en.wikipedia.org/wiki/Building_insulation_materials</t>
  </si>
  <si>
    <t>Building insulation materials (compare materials)</t>
  </si>
  <si>
    <t>https://www.greenbuildingadvisor.com/article/does-vacuum-insulation-make-sense</t>
  </si>
  <si>
    <t>Does Vacuum Insulation Make Sense?</t>
  </si>
  <si>
    <t>https://www.eetimes.com/document.asp?doc_id=1279014</t>
  </si>
  <si>
    <t>What is Power Line Communication?</t>
  </si>
  <si>
    <t>Power Line Filter</t>
  </si>
  <si>
    <t>choke</t>
  </si>
  <si>
    <t>mOhms</t>
  </si>
  <si>
    <t>drop</t>
  </si>
  <si>
    <t>mV</t>
  </si>
  <si>
    <t xml:space="preserve">power </t>
  </si>
  <si>
    <t>mW</t>
  </si>
  <si>
    <t>http://ww1.microchip.com/downloads/en/DeviceDoc/Atmel-42493-ATBTLC1000-WLCSP-SOC_Datasheet.pdf</t>
  </si>
  <si>
    <t>Bluetooth Processor</t>
  </si>
  <si>
    <t>processor with bluetooth, $.81, ATBTLC1000A-UU-T</t>
  </si>
  <si>
    <t>Argone gas in window</t>
  </si>
  <si>
    <t>https://en.wikipedia.org/wiki/Permeation</t>
  </si>
  <si>
    <t>Vacuum</t>
  </si>
  <si>
    <t>Vacuum Insulation</t>
  </si>
  <si>
    <t>https://www.amazon.com/Powerful-Vacuum-Pump-Compressor-12V/dp/B0192KPBCK/ref=pd_cp_328_4?pf_rd_m=ATVPDKIKX0DER&amp;pf_rd_p=ef4dc990-a9ca-4945-ae0b-f8d549198ed6&amp;pf_rd_r=F8DNRSS576E69JHYPHPY&amp;pd_rd_wg=nUA8k&amp;pf_rd_s=desktop-dp-sims&amp;pf_rd_t=40701&amp;pd_rd_w=mO3Nl&amp;pf_rd_i=desktop-dp-sims&amp;pd_rd_r=8359d630-de21-11e8-a318-07eaf7bb505c&amp;pd_rd_i=B0192KPBCK&amp;psc=1&amp;refRID=F8DNRSS576E69JHYPHPY</t>
  </si>
  <si>
    <t>Powerful Vacuum Pump Compressor (12V DC), Focal Flux #VAC-100</t>
  </si>
  <si>
    <t>https://www.kr4.us/vacuum-pump-12v.html</t>
  </si>
  <si>
    <t>http://www.karlssonrobotics.com/datasheets/Robotics/Other/spec%20sheet.jpeg</t>
  </si>
  <si>
    <t>Vacuum Pump - 12V,  Karlsson Robotics #D2028, $21/1 amazon, $14/1, 16"Hg, 1Amp</t>
  </si>
  <si>
    <t>https://www.mouser.com/ProductDetail/SparkFun/ROB-10398?qs=sGAEpiMZZMuWWq7rhECaKZMJQ683hOh9OXiADbGEYzw%3d</t>
  </si>
  <si>
    <t>http://www.focalflux.com/products.html</t>
  </si>
  <si>
    <t xml:space="preserve"> &gt; 16" Hg, 8psig, 32 psi</t>
  </si>
  <si>
    <t>https://en.wikipedia.org/wiki/European_Union_energy_label</t>
  </si>
  <si>
    <t>Energy Ratings</t>
  </si>
  <si>
    <t>European Union energy label</t>
  </si>
  <si>
    <t>https://www.homedepot.com/p/American-Craftsman-27-25-in-x-44-25-in-70-Series-Pro-Double-Hung-White-Buck-Vinyl-Window-with-Grille-2845786GNPS/206727557</t>
  </si>
  <si>
    <t>Connectors</t>
  </si>
  <si>
    <t>https://www.te.com/usa-en/product-1-480425-0.html</t>
  </si>
  <si>
    <t>15Amp plug w/ crimps</t>
  </si>
  <si>
    <t xml:space="preserve"> &gt; high cost, quick to assemble, reliability fair</t>
  </si>
  <si>
    <t>Screw Force</t>
  </si>
  <si>
    <t xml:space="preserve">https://peer.asee.org/the-relationship-between-the-tightening-torque-and-the-clamp-force.pdf  </t>
  </si>
  <si>
    <t>THE RELATIONSHIP BETWEEN THE TIGHTENING TORQUE AND THE CLAMP FORCE OF SMALL INDUSTRIAL SCREW FASTENER</t>
  </si>
  <si>
    <t>https://www.homedepot.com/b/Doors-Windows-Windows-Double-Hung-Windows/N-5yc1vZas47</t>
  </si>
  <si>
    <t>Protection</t>
  </si>
  <si>
    <t>series R</t>
  </si>
  <si>
    <t>capacitor</t>
  </si>
  <si>
    <t>pF</t>
  </si>
  <si>
    <t>tc</t>
  </si>
  <si>
    <t>Fc</t>
  </si>
  <si>
    <t>sec</t>
  </si>
  <si>
    <t>Overvoltage</t>
  </si>
  <si>
    <t>fuse</t>
  </si>
  <si>
    <t>ohms/ft</t>
  </si>
  <si>
    <t>Power- short to Earth GND</t>
  </si>
  <si>
    <t>pwr/ft</t>
  </si>
  <si>
    <t>Zigbee</t>
  </si>
  <si>
    <t>See file "ZigBee, NOTES.xlsx"</t>
  </si>
  <si>
    <t>What ICs can I use to convert 230V AC to 5V DC? Do I get a part that combines the rectifier with a regulator into a single component?</t>
  </si>
  <si>
    <t>https://www.quora.com/What-ICs-can-I-use-to-convert-230V-AC-to-5V-DC-Do-I-get-a-part-that-combines-the-rectifier-with-a-regulator-into-a-single-component</t>
  </si>
  <si>
    <t>LR645 AC/DC Adjustable Linear Voltage Regulator, 15 - 450V input voltage range, Adjustable 8 - 12Vdc regulated output regulation, $.45/5k</t>
  </si>
  <si>
    <t xml:space="preserve"> &gt; 3 to 30mA</t>
  </si>
  <si>
    <t>https://www.microchip.com/wwwproducts/en/LR645</t>
  </si>
  <si>
    <t xml:space="preserve"> &gt; 150mA with DN2540N5 mosfet</t>
  </si>
  <si>
    <t>LR8 AC/DC Adjustable Linear Voltage Regulator, 13.2 - 450V input voltage range, Adjustable 1.20 - 440V output regulation, $.43/1000</t>
  </si>
  <si>
    <t>https://www.microchip.com/wwwproducts/en/LR8</t>
  </si>
  <si>
    <t xml:space="preserve">HV9922, 50 mA, 85 VAC to 256 VAC, </t>
  </si>
  <si>
    <t>http://www.onsemi.com/pub/Collateral/NCP785A-D.PDF</t>
  </si>
  <si>
    <t>smart home videos</t>
  </si>
  <si>
    <t>Introduction to Smart Plugs - How to use them in the living room, kitchen, bathroom and bedroom!</t>
  </si>
  <si>
    <t>Geothermal Energy &amp; "Geothermal Heat Pumps"</t>
  </si>
  <si>
    <t>https://www.icax.co.uk/Geothermal_Energy.html</t>
  </si>
  <si>
    <t>https://www.energy.gov/eere/videos/energy-101-geothermal-heat-pumps</t>
  </si>
  <si>
    <t>Energy 101: Geothermal Heat Pumps, usa energy.gov</t>
  </si>
  <si>
    <t>54F underground, constant all year round, helps w/ heating and ac</t>
  </si>
  <si>
    <t>https://www.energy.gov/eere/articles/5-things-you-should-know-about-geothermal-heat-pumps</t>
  </si>
  <si>
    <t>5 Things You Should Know about Geothermal Heat Pumps</t>
  </si>
  <si>
    <t>https://en.wikipedia.org/wiki/Geothermal_heat_pump</t>
  </si>
  <si>
    <t>Geothermal heat pump, wiki</t>
  </si>
  <si>
    <t>watts</t>
  </si>
  <si>
    <t>roof</t>
  </si>
  <si>
    <t>Element Output</t>
  </si>
  <si>
    <t>watts burned each mosfet pak</t>
  </si>
  <si>
    <t>https://www.youtube.com/watch?v=KaA2zUwRHp0</t>
  </si>
  <si>
    <t>DIY 100W Solar Panel: How to Make Homemade Solar Panels from Scratch - Part 1</t>
  </si>
  <si>
    <t>reference</t>
  </si>
  <si>
    <t xml:space="preserve">(1*1*0.001= 0.001 cubic meters, 0.001 * 2800 Kg/CuMtr = 2.8Kg, $2.20/kg * 2.8Kg = $6).  </t>
  </si>
  <si>
    <t>$ per kg</t>
  </si>
  <si>
    <t>http://web.mit.edu/course/3/3.11/www/modules/props.pdf</t>
  </si>
  <si>
    <t>cost of materials</t>
  </si>
  <si>
    <t>trace length</t>
  </si>
  <si>
    <t>trace Width</t>
  </si>
  <si>
    <t>Power Disp</t>
  </si>
  <si>
    <t>(A)</t>
  </si>
  <si>
    <t>http://www.endmemo.com/physics/resistance.php</t>
  </si>
  <si>
    <t>resistance calculator</t>
  </si>
  <si>
    <t>aluminum resistivity</t>
  </si>
  <si>
    <t>Ω . M</t>
  </si>
  <si>
    <t>(meters)</t>
  </si>
  <si>
    <t>cross sect.</t>
  </si>
  <si>
    <t>thickness</t>
  </si>
  <si>
    <t>(mm)</t>
  </si>
  <si>
    <t>(sq meters)</t>
  </si>
  <si>
    <t>resistance</t>
  </si>
  <si>
    <t>(milliohms)</t>
  </si>
  <si>
    <t>(W)</t>
  </si>
  <si>
    <t>Entire Array</t>
  </si>
  <si>
    <t>wasted energy</t>
  </si>
  <si>
    <t>entire array (%)</t>
  </si>
  <si>
    <t>size</t>
  </si>
  <si>
    <t>https://en.wikipedia.org/wiki/Solar_cell</t>
  </si>
  <si>
    <t>solar cell</t>
  </si>
  <si>
    <t>Geothermal Trench Digger</t>
  </si>
  <si>
    <t>https://sheltonsdrainage.com/news/introducing-the-shelton-ct150-agricultural-chain-trencher/</t>
  </si>
  <si>
    <t xml:space="preserve">Shelton CT150 </t>
  </si>
  <si>
    <t>https://sheltonsdrainage.com/sports-turf-drainage/machinery/trenchers-for-sale/</t>
  </si>
  <si>
    <t xml:space="preserve">Shelton chain trencher </t>
  </si>
  <si>
    <t>https://www.google.com/search?q=shelton+trencher&amp;rlz=1C1CHBF_enUS816US816&amp;source=lnms&amp;tbm=isch&amp;sa=X&amp;ved=0ahUKEwiwk-z5p9LeAhUCT98KHTRGBWMQ_AUIFCgC&amp;biw=1820&amp;bih=1175</t>
  </si>
  <si>
    <t>google trencher</t>
  </si>
  <si>
    <t>google chain trencher (good)</t>
  </si>
  <si>
    <t>http://www.energyhomes.org/renewable-technology/geoinstallation.html</t>
  </si>
  <si>
    <t>$20 to 25K for 2500 sq ft house</t>
  </si>
  <si>
    <t>https://www.builditsolar.com/Projects/Cooling/EarthTemperatures.htm</t>
  </si>
  <si>
    <t>average earth temperature, depth vs temperature (GOOD)</t>
  </si>
  <si>
    <t>shallow geothermal depth vs temperature, google (GOOD)</t>
  </si>
  <si>
    <t>https://www.google.com/search?q=shallow+geothermal+depth+vs+temperature&amp;rlz=1C1CHBF_enUS816US816&amp;tbm=isch&amp;tbo=u&amp;source=univ&amp;sa=X&amp;ved=2ahUKEwitn4PtrNLeAhUNT98KHeVtBKgQsAR6BAgEEAE</t>
  </si>
  <si>
    <t>https://www.californiageo.org/geo-heat-pump-applications/shallow-earth-temperatures-arent-sexy-but/</t>
  </si>
  <si>
    <t>shallow geothermal depth vs temperature (GOOD GRAPH)</t>
  </si>
  <si>
    <t>https://www.homeadvisor.com/cost/heating-and-cooling/install-a-geothermal-heating-or-cooling-system/</t>
  </si>
  <si>
    <t>Temperature Vs Depth</t>
  </si>
  <si>
    <t>https://home.costhelper.com/geothermal-heat-pump.html</t>
  </si>
  <si>
    <t>$3k to $7K unit, $5K to 15K excavation cost</t>
  </si>
  <si>
    <t>Costs</t>
  </si>
  <si>
    <t>https://www.autotrader.ca/newsfeatures/20140827/find-of-the-week-1995-subaru-sambar-micro-van/</t>
  </si>
  <si>
    <t>Subaru Sambar</t>
  </si>
  <si>
    <t>https://www.google.com/imgres?imgurl=https://www.onlinemathlearning.com/image-files/xspecial-right-triangles.png.pagespeed.ic.c7cJiA1TKk.png&amp;imgrefurl=https://www.onlinemathlearning.com/special-right-triangles.html&amp;h=477&amp;w=546&amp;tbnid=bRXR56zmsLShoM:&amp;q=3+4+5+triangle&amp;tbnh=175&amp;tbnw=200&amp;usg=AI4_-kS5jVHFsGwIVz6p-fenhgcmpXv4Uw&amp;vet=12ahUKEwihlo6VwdLeAhURm-AKHbdRA8QQ_B0wHnoECAIQBg..i&amp;docid=jnWVTF1dHdpavM&amp;itg=1&amp;sa=X&amp;ved=2ahUKEwihlo6VwdLeAhURm-AKHbdRA8QQ_B0wHnoECAIQBg#h=477&amp;imgdii=mbdFYVMu_zVxzM:&amp;tbnh=175&amp;tbnw=200&amp;vet=12ahUKEwihlo6VwdLeAhURm-AKHbdRA8QQ_B0wHnoECAIQBg..i&amp;w=546</t>
  </si>
  <si>
    <t>This Sambar measures only 11 feet long (3,295 mm), 4 ½ feet wide (1,395 mm), and just over 6 feet tall (1,895 mm), yet it’s incredibly roomy inside.</t>
  </si>
  <si>
    <t>9, 12, 15 triangle</t>
  </si>
  <si>
    <t>http://www.geothermalcommunities.eu/assets/elearning/6.22.Shallow%20Geothermal%20SYstems.pdf</t>
  </si>
  <si>
    <t>Different Systems</t>
  </si>
  <si>
    <t>overview of different systems</t>
  </si>
  <si>
    <t>https://www.energy.ca.gov/2014publications/CEC-500-2014-060/CEC-500-2014-060.pdf</t>
  </si>
  <si>
    <t>good calif report on geo thermal</t>
  </si>
  <si>
    <t>https://smarterhouse.org/water-heating/replacing-your-water-heater</t>
  </si>
  <si>
    <t>Energy Strategy</t>
  </si>
  <si>
    <t>Costs of different water heaters</t>
  </si>
  <si>
    <t>https://www.mining-technology.com/features/feature-the-worlds-biggest-coal-reserves-by-country/</t>
  </si>
  <si>
    <t>coal reserves, 2013 article</t>
  </si>
  <si>
    <t>https://www.energy.gov/energysaver/water-heating/selecting-new-water-heater</t>
  </si>
  <si>
    <t>hot water heaters -- us gov't -- testing lab -- oak ridge</t>
  </si>
  <si>
    <t>https://en.wikipedia.org/wiki/Radiant_barrier</t>
  </si>
  <si>
    <t>Thermal Radiation</t>
  </si>
  <si>
    <t>http://www.fsec.ucf.edu/en/publications/html/FSEC-EN-15/index.htm</t>
  </si>
  <si>
    <t>thermal radiation barrier</t>
  </si>
  <si>
    <t>info on radiant barriers</t>
  </si>
  <si>
    <t>https://www.worldenergy.org/publications/2013/world-energy-resources-2013-survey/</t>
  </si>
  <si>
    <t>energy reserves, dave rutledge</t>
  </si>
  <si>
    <t>https://www.sciencedirect.com/science/article/pii/S1369702113002241</t>
  </si>
  <si>
    <t>Modern plastic solar cells: materials, mechanisms and modeling</t>
  </si>
  <si>
    <t>https://web.wpi.edu/Pubs/E-project/Available/E-project-042507-092653/unrestricted/MQP_D_1_2.pdf</t>
  </si>
  <si>
    <t>Power Inverter</t>
  </si>
  <si>
    <t>nice article on power inverter design</t>
  </si>
  <si>
    <t>http://www.ti.com/lit/an/slaa602a/slaa602a.pdf</t>
  </si>
  <si>
    <t>ti reference design, 800W, pure sine (yet distorts under load)</t>
  </si>
  <si>
    <t>https://electronics.stackexchange.com/questions/79028/understanding-two-mosfet-with-sources-connected</t>
  </si>
  <si>
    <t>for two direction current flow you need 2 mosfets and 2 diodes</t>
  </si>
  <si>
    <t>ft</t>
  </si>
  <si>
    <t>m</t>
  </si>
  <si>
    <t>width</t>
  </si>
  <si>
    <t>house</t>
  </si>
  <si>
    <t>depth</t>
  </si>
  <si>
    <t>sqft</t>
  </si>
  <si>
    <t>sqm</t>
  </si>
  <si>
    <t>surface area</t>
  </si>
  <si>
    <t>GLASS</t>
  </si>
  <si>
    <t>AL</t>
  </si>
  <si>
    <t>total thickness (all layers of each  type of material)</t>
  </si>
  <si>
    <t xml:space="preserve">kg/cubic meter </t>
  </si>
  <si>
    <t>Kg of material per sq meter of panel</t>
  </si>
  <si>
    <t>thickness of each layer, average</t>
  </si>
  <si>
    <t>Plastic HDPE</t>
  </si>
  <si>
    <t>sq meter per 1x1meter panel</t>
  </si>
  <si>
    <t>ohms per mosfet (60V)</t>
  </si>
  <si>
    <t>one panel</t>
  </si>
  <si>
    <t>meters width</t>
  </si>
  <si>
    <t>meters length</t>
  </si>
  <si>
    <t>square meters</t>
  </si>
  <si>
    <t>watts per panel</t>
  </si>
  <si>
    <t>watts per sq meter from sun</t>
  </si>
  <si>
    <t>discount due to sun angle</t>
  </si>
  <si>
    <t># of layers of material</t>
  </si>
  <si>
    <t>sq meters per panel</t>
  </si>
  <si>
    <t xml:space="preserve">https://www.digikey.com/product-detail/en/on-semiconductor/NVMFS5C670NLAFT3G/NVMFS5C670NLAFT3G-ND/7562215 </t>
  </si>
  <si>
    <t>switch</t>
  </si>
  <si>
    <t>https://www.digikey.com/product-detail/en/stmicroelectronics/ACST210-8B/497-10870-5-ND/2504620</t>
  </si>
  <si>
    <t>voltage drop across triac</t>
  </si>
  <si>
    <t>part</t>
  </si>
  <si>
    <t>NVMFS5C670</t>
  </si>
  <si>
    <t>ACST210</t>
  </si>
  <si>
    <t>cost per part, 1K qty</t>
  </si>
  <si>
    <t>usd</t>
  </si>
  <si>
    <t>battery</t>
  </si>
  <si>
    <t># of different voltages</t>
  </si>
  <si>
    <t>batteries per voltage</t>
  </si>
  <si>
    <t>total # of batteries</t>
  </si>
  <si>
    <t>Low Voltage</t>
  </si>
  <si>
    <t>Hi Voltage</t>
  </si>
  <si>
    <t xml:space="preserve"># of switches per battery  </t>
  </si>
  <si>
    <t>cost of switches per 1x1m panel</t>
  </si>
  <si>
    <t>cost per 1x1m panel</t>
  </si>
  <si>
    <t>Solar Cell</t>
  </si>
  <si>
    <t>$0.50/sqft * 11 = $5</t>
  </si>
  <si>
    <t xml:space="preserve">    cost per watt (material only, no processing cost, no labor installation, no electronics)</t>
  </si>
  <si>
    <t>total current</t>
  </si>
  <si>
    <t># of batteries in series</t>
  </si>
  <si>
    <t>voltage drop total</t>
  </si>
  <si>
    <t>amount wasted</t>
  </si>
  <si>
    <t># of batteries in parallel</t>
  </si>
  <si>
    <t>current per battery</t>
  </si>
  <si>
    <t>power disipated in switches total, one panel</t>
  </si>
  <si>
    <t>power wasted</t>
  </si>
  <si>
    <t>efficiency</t>
  </si>
  <si>
    <t>Batteries and Switches</t>
  </si>
  <si>
    <t>mosfet Ron Resist.</t>
  </si>
  <si>
    <t>Mosfets with different currents</t>
  </si>
  <si>
    <t># of ohms total from all switches (7 low voltage mosfet batteries in series, or 4 triac hi voltage batteries in parallel)</t>
  </si>
  <si>
    <t>standard roof</t>
  </si>
  <si>
    <t># of panels for standard roof entire array</t>
  </si>
  <si>
    <t>watts for entire array</t>
  </si>
  <si>
    <t>entire array</t>
  </si>
  <si>
    <t>total AL/Si/Insulator/SolarCell material cost per 1x1m panel (does not include processing cost to make the panel, does not include electronics cost)</t>
  </si>
  <si>
    <t>PCB Cost (per panel)</t>
  </si>
  <si>
    <t>analog electronics to monitor all voltage drops and currents, to characterize IV characteristic of all elements, 12bit, 5usec a/d</t>
  </si>
  <si>
    <t>digital electronics, processor cost</t>
  </si>
  <si>
    <t>etc cost</t>
  </si>
  <si>
    <t>PCB + Analog Monitoring Electronics + Digital Processor (no mosfet/triac switches)</t>
  </si>
  <si>
    <t>total voltage, all batteries in series</t>
  </si>
  <si>
    <t>configuration</t>
  </si>
  <si>
    <t>Bank of panels</t>
  </si>
  <si>
    <t>surface area, square meters</t>
  </si>
  <si>
    <t>one 1x1m panel</t>
  </si>
  <si>
    <t>https://www.altestore.com/howto/solar-panels-pv-and-voltages-a98/</t>
  </si>
  <si>
    <t>voltage vs light</t>
  </si>
  <si>
    <t>https://sciencing.com/output-watts-solar-panels-6946.html</t>
  </si>
  <si>
    <t>The Output Watts of Solar Panels</t>
  </si>
  <si>
    <t>sq cm, 350mA, 0.5V</t>
  </si>
  <si>
    <t>150 of these will get you 75v at .35a</t>
  </si>
  <si>
    <t xml:space="preserve">sq cm </t>
  </si>
  <si>
    <t>Bank of Panels (1 lo + 1 hi)</t>
  </si>
  <si>
    <t># of panels in one bank (1 lo + 1 hi panels)</t>
  </si>
  <si>
    <t>total wasted, one bank (1 lo + 1 hi panels)</t>
  </si>
  <si>
    <t>total # of watts, one bank (1 lo + 1 hi panels)</t>
  </si>
  <si>
    <t>cost for mosfets/triacs, one bank (1 lo + 1 hi panels)</t>
  </si>
  <si>
    <t>cost of mosfet/triac switches, one bank (1 lo + 1 hi panels)</t>
  </si>
  <si>
    <t>power disipated total, one bank (1 lo + 1 hi panels)</t>
  </si>
  <si>
    <t>(1 low voltage &amp;</t>
  </si>
  <si>
    <t xml:space="preserve"> 1 high voltage)</t>
  </si>
  <si>
    <t>Triac Panel</t>
  </si>
  <si>
    <t>Mosfet Panel</t>
  </si>
  <si>
    <t>PCB  Space</t>
  </si>
  <si>
    <t># of switches per panel</t>
  </si>
  <si>
    <t>5x6mm</t>
  </si>
  <si>
    <t>10x7mm</t>
  </si>
  <si>
    <t>sq meters</t>
  </si>
  <si>
    <t>surface area on pcb</t>
  </si>
  <si>
    <t>surface area on pcb, all switches, one pcb for 1x1m panel</t>
  </si>
  <si>
    <t># of floors</t>
  </si>
  <si>
    <t>surface area, all floors</t>
  </si>
  <si>
    <t>per panel</t>
  </si>
  <si>
    <t>(1x1m)</t>
  </si>
  <si>
    <t>along aluminum</t>
  </si>
  <si>
    <t>conductor</t>
  </si>
  <si>
    <t># of banks where each bank is 1 low and 3 high panels</t>
  </si>
  <si>
    <t>one 1x2m bank</t>
  </si>
  <si>
    <t>total per 1x2m bank PCB + Analog Monitoring Electronics + Digital Processor (no mosfet/triac switches)</t>
  </si>
  <si>
    <t># of panels in each bank</t>
  </si>
  <si>
    <t># of PCB's per panel</t>
  </si>
  <si>
    <t>cost of mosfet/triac switches</t>
  </si>
  <si>
    <t>cost of materials (glass/SolarCell/AL/Insulator/AL/Insulator/AL), no processing costs</t>
  </si>
  <si>
    <t>factory processing cost to make one panel (100% guess, stamping, spot welding, gold plating tabs)</t>
  </si>
  <si>
    <t>factory processing cost (100% guess, stamping, spot welding, gold plating tabs. adhesive)</t>
  </si>
  <si>
    <t>TOTAL Costs To Make Solar Material (does not include installation labor or central controller box)</t>
  </si>
  <si>
    <t>square feet</t>
  </si>
  <si>
    <t>pipe diameter</t>
  </si>
  <si>
    <t>in^2</t>
  </si>
  <si>
    <t>sand</t>
  </si>
  <si>
    <t>coil diameter</t>
  </si>
  <si>
    <t>overlap</t>
  </si>
  <si>
    <t>trench</t>
  </si>
  <si>
    <t>coils</t>
  </si>
  <si>
    <t>total pipe length</t>
  </si>
  <si>
    <t>linear coil advance</t>
  </si>
  <si>
    <t>circum.</t>
  </si>
  <si>
    <t>trench length</t>
  </si>
  <si>
    <t>sand circum surface area</t>
  </si>
  <si>
    <t>cubic feet</t>
  </si>
  <si>
    <t>cubic meters</t>
  </si>
  <si>
    <t>sand volumne, all coils</t>
  </si>
  <si>
    <t>sand surface area, cross section</t>
  </si>
  <si>
    <t>in^3</t>
  </si>
  <si>
    <t>sand volume, one coil</t>
  </si>
  <si>
    <t>sand thickness round pipe</t>
  </si>
  <si>
    <t>sand outter diameter</t>
  </si>
  <si>
    <t>pipe outer surface area</t>
  </si>
  <si>
    <t>https://www.aqua-calc.com/calculate/volume-to-weight</t>
  </si>
  <si>
    <t>wet sand density</t>
  </si>
  <si>
    <t>kg per cubic meter</t>
  </si>
  <si>
    <t>kg</t>
  </si>
  <si>
    <t>sand weight</t>
  </si>
  <si>
    <t>thermal conductivity</t>
  </si>
  <si>
    <t>slinky examples:</t>
  </si>
  <si>
    <t>http://c03.apogee.net/contentplayer/?coursetype=geo&amp;utilityid=oge&amp;id=7082</t>
  </si>
  <si>
    <t>https://heatpumpsuppliers.com/Geothermal-Slinky-Pipe-Coils.html</t>
  </si>
  <si>
    <t>hdpe pipe</t>
  </si>
  <si>
    <t>dry sand</t>
  </si>
  <si>
    <t>wet sand</t>
  </si>
  <si>
    <t>HDPE (Polyethylene high density, PEH)</t>
  </si>
  <si>
    <t>diameter</t>
  </si>
  <si>
    <t>loop 1</t>
  </si>
  <si>
    <t>loop 2</t>
  </si>
  <si>
    <t>loop 3</t>
  </si>
  <si>
    <t>distance between loops</t>
  </si>
  <si>
    <t>total</t>
  </si>
  <si>
    <t>https://www.ijser.org/researchpaper/optimizing-the-turning-radius-of-a-vehicle-using-symmetric.pdf</t>
  </si>
  <si>
    <t>turning radius</t>
  </si>
  <si>
    <t>truck wheelbase</t>
  </si>
  <si>
    <t>dia (ft)</t>
  </si>
  <si>
    <t>circ (ft)</t>
  </si>
  <si>
    <t>dia (m)</t>
  </si>
  <si>
    <t>circ (m)</t>
  </si>
  <si>
    <t>spirals</t>
  </si>
  <si>
    <t>min turning radius, 4w steering</t>
  </si>
  <si>
    <t>average lawn</t>
  </si>
  <si>
    <t>average lot</t>
  </si>
  <si>
    <t>acres</t>
  </si>
  <si>
    <t>sq ft</t>
  </si>
  <si>
    <t>size if square</t>
  </si>
  <si>
    <t>yard w/o house</t>
  </si>
  <si>
    <t>front yard + back yd depth</t>
  </si>
  <si>
    <t>% total for back yard</t>
  </si>
  <si>
    <t>back yard depth</t>
  </si>
  <si>
    <t>front yard depth</t>
  </si>
  <si>
    <t>https://tigerprints.clemson.edu/cgi/viewcontent.cgi?article=3448&amp;context=all_theses</t>
  </si>
  <si>
    <t>thesis, nice</t>
  </si>
  <si>
    <t>https://plasticpipe.org/pdf/chapter12.pdf</t>
  </si>
  <si>
    <t>Horizontal Directional Drilling</t>
  </si>
  <si>
    <t>https://plasticpipe.org/pdf/tr-46-hdd-guidelines.pdf</t>
  </si>
  <si>
    <t>radius of curvature (GOOD ARTICLE ON DIRECTIONAL BORING)</t>
  </si>
  <si>
    <t>http://energy.mit.edu/wp-content/uploads/2006/11/MITEI-The-Future-of-Geothermal-Energy.pdf</t>
  </si>
  <si>
    <t>geothermal energy report, 400 pages</t>
  </si>
  <si>
    <t>http://www.waterfurnace.ca/geothermal-questions.php#d3</t>
  </si>
  <si>
    <t>faq</t>
  </si>
  <si>
    <t> As a rule of thumb, 500-600 feet of pipe is required per ton of system capacity. A well-insulated 2,000 square-foot home would need about a three-ton system with 1,500 - 1,800 feet of pipe.</t>
  </si>
  <si>
    <t>capacity</t>
  </si>
  <si>
    <t>tons</t>
  </si>
  <si>
    <t>https://www.acdirect.com/ac-package-unit-learning-center-ac-sizing-calculator</t>
  </si>
  <si>
    <t>https://kochergeowelldrilling.com/loop-configurations/</t>
  </si>
  <si>
    <t>feet per ton</t>
  </si>
  <si>
    <t>feet of pipe per ton</t>
  </si>
  <si>
    <t>levels</t>
  </si>
  <si>
    <t># of coils, total</t>
  </si>
  <si>
    <t># of coils, one string</t>
  </si>
  <si>
    <t>pipe ft for ea "coil advance", one string</t>
  </si>
  <si>
    <t xml:space="preserve"># of coil advances in trench </t>
  </si>
  <si>
    <t># of strings in trench</t>
  </si>
  <si>
    <t>(2" pipe needs less than 1.5")</t>
  </si>
  <si>
    <t>http://www.topsflo.com/</t>
  </si>
  <si>
    <t>big manufacturer of pumps</t>
  </si>
  <si>
    <t>http://www.topsflo.com/mini-diaphragm-pump/</t>
  </si>
  <si>
    <t xml:space="preserve">  &gt;&gt; air pump</t>
  </si>
  <si>
    <t>55KP = .54 atm</t>
  </si>
  <si>
    <t>https://www.youtube.com/watch?v=JGcPgo540HE</t>
  </si>
  <si>
    <t>honeywell zoning system</t>
  </si>
  <si>
    <t>HVAC Zoning</t>
  </si>
  <si>
    <t>file:///C:/Users/glenn/Downloads/Work.pdf</t>
  </si>
  <si>
    <t>google search "Some comments about the use of GHP in Alentejo"</t>
  </si>
  <si>
    <t>Geothermal Math</t>
  </si>
  <si>
    <t>Automation Computer</t>
  </si>
  <si>
    <t>https://en.wikipedia.org/wiki/List_of_Qualcomm_Snapdragon_systems-on-chip#Snapdragon_410_and_412</t>
  </si>
  <si>
    <t>list of snapdragon processors</t>
  </si>
  <si>
    <t>https://en.wikipedia.org/wiki/ARM_Cortex-A8</t>
  </si>
  <si>
    <t>cortex a8 processor</t>
  </si>
  <si>
    <t>https://www.digikey.com/products/en?t=753&amp;pv110=841</t>
  </si>
  <si>
    <t>usb to ethernet ic ($3)</t>
  </si>
  <si>
    <t>https://www.the-ambient.com/guides/best-smart-home-hubs-360</t>
  </si>
  <si>
    <t>this talks about hubs and gateways</t>
  </si>
  <si>
    <t>Hubs, Gateways and Controllers</t>
  </si>
  <si>
    <t>BACnet</t>
  </si>
  <si>
    <t>See file "BACnet, building automation, NOTES.xlsx"</t>
  </si>
  <si>
    <t>electricity sold to grid</t>
  </si>
  <si>
    <t>electricity cost retail $0.12/kwhr</t>
  </si>
  <si>
    <t>https://www.quora.com/How-much-would-I-make-selling-electricity-back-to-the-grid-with-a-1kw-system</t>
  </si>
  <si>
    <t>amount of money you make if you sell 1KWhr to city for one year</t>
  </si>
  <si>
    <t>amount of money you make if you sell 1Watt Hour to city for one year</t>
  </si>
  <si>
    <t># of years of break even to Make Solar Material (does not include installation labor or central controller box)</t>
  </si>
  <si>
    <t>hours of sun per year</t>
  </si>
  <si>
    <t>hours of sun per day</t>
  </si>
  <si>
    <t>http://www.lightsonsolar.com/solar-basics-kw-and-kwh/</t>
  </si>
  <si>
    <t>kw and kwhr basics</t>
  </si>
  <si>
    <t>angle of sun w.r.t. solar panel (e.g. 0 degrees is 100% normal)</t>
  </si>
  <si>
    <t>sun angle effect</t>
  </si>
  <si>
    <t>We look at two scenarios:</t>
  </si>
  <si>
    <t>1) Sun at 45degress angle to solar cell (realistic scenario)</t>
  </si>
  <si>
    <t>2) Sun  is normal to panel (industry standard scenario, useful for comparison purposes).</t>
  </si>
  <si>
    <t>solar cost</t>
  </si>
  <si>
    <t>https://web.stanford.edu/group/mcgehee/presentations/McGehee's%202014%20Energy%20Seminar.pdf</t>
  </si>
  <si>
    <t>McGee's 2014 comparison of different technologies</t>
  </si>
  <si>
    <t>https://www.pv-magazine.com/2018/06/21/global-pv-module-prices-collapse/</t>
  </si>
  <si>
    <t xml:space="preserve">   same as above, yet per square foot</t>
  </si>
  <si>
    <t>per watt (sun 45°)</t>
  </si>
  <si>
    <t>per watt (sun 0°)</t>
  </si>
  <si>
    <t>We assume sun is 45degrees to panel.</t>
  </si>
  <si>
    <t>material costs</t>
  </si>
  <si>
    <t>https://en.wikipedia.org/wiki/Crystalline_silicon</t>
  </si>
  <si>
    <t>https://m.energytrend.com/pricequotes.html</t>
  </si>
  <si>
    <t>cost per watt for solar CELL (Superior High-Efficiency Mono-Si Cell (USD), not module that wraps around cell)</t>
  </si>
  <si>
    <t>solar efficiency (Superior High-Efficiency Mono-Si Cell, 21.5%)</t>
  </si>
  <si>
    <t>watts per panel (sun normal to panel)</t>
  </si>
  <si>
    <r>
      <t xml:space="preserve">    same as above, yet sun 45</t>
    </r>
    <r>
      <rPr>
        <sz val="11"/>
        <color theme="1"/>
        <rFont val="Calibri"/>
        <family val="2"/>
      </rPr>
      <t>° to panel</t>
    </r>
  </si>
  <si>
    <t>Ref:</t>
  </si>
  <si>
    <t>cost per square meter for solar cell (e.g. thin cell, this is not the module that wraps around solar cell)</t>
  </si>
  <si>
    <t>amount of money you make if you sell entire array's electricity to city for one year (13KW)</t>
  </si>
  <si>
    <t>100m^2 watt roof</t>
  </si>
  <si>
    <t>Standard Roof (100 qty 1x1m panels, 50 qty banks, 13KW, sun hits at 45degree angle)</t>
  </si>
  <si>
    <t>volts and amps</t>
  </si>
  <si>
    <t>peak voltage (maximum of sinewave)</t>
  </si>
  <si>
    <t>current (Amps) at peak 156V voltage, this is AC current of sine wave</t>
  </si>
  <si>
    <t>current (Amps) if 110V was DC and output is DCV, which is not the case</t>
  </si>
  <si>
    <t>sin and residual</t>
  </si>
  <si>
    <t>sine</t>
  </si>
  <si>
    <t>% of energy that goes to wave</t>
  </si>
  <si>
    <t>Watts/m^2, sun at 0 degree angle</t>
  </si>
  <si>
    <t>Watts/m^2, sun at 45 degree angle</t>
  </si>
  <si>
    <t>residual (1-|sine|)</t>
  </si>
  <si>
    <t>cost per square ft to make material, above corrugated steel</t>
  </si>
  <si>
    <t>cost</t>
  </si>
  <si>
    <t>1 acre parking lot</t>
  </si>
  <si>
    <t>$M cost above corrugated steel</t>
  </si>
  <si>
    <t>miles</t>
  </si>
  <si>
    <t># of batteries charged per day</t>
  </si>
  <si>
    <t>100m^2 array</t>
  </si>
  <si>
    <t>K sq ft</t>
  </si>
  <si>
    <t>KW (45degree angle)</t>
  </si>
  <si>
    <t>hrs/day</t>
  </si>
  <si>
    <t>kWh</t>
  </si>
  <si>
    <t>standard array 100m^2</t>
  </si>
  <si>
    <t>kWh that we get from entire array each day</t>
  </si>
  <si>
    <t>tesla3, 50kWh battery, # of miles</t>
  </si>
  <si>
    <t># of tesla3's that we charge/day</t>
  </si>
  <si>
    <t>battery size in kWh</t>
  </si>
  <si>
    <t>step ratio</t>
  </si>
  <si>
    <t># of 1acre parking lots per charging station</t>
  </si>
  <si>
    <t>6k charging stations</t>
  </si>
  <si>
    <t>charging stations</t>
  </si>
  <si>
    <t>total highway miles</t>
  </si>
  <si>
    <t>station spacing</t>
  </si>
  <si>
    <t># of charging stations</t>
  </si>
  <si>
    <t>1000 battery charging station</t>
  </si>
  <si>
    <t># of M miles charged each day</t>
  </si>
  <si>
    <t># of M miles charged each year</t>
  </si>
  <si>
    <t>6K charging stations</t>
  </si>
  <si>
    <t>interstate rural is 300,000M miles per year, ref https://www.fhwa.dot.gov/policyinformation/statistics/2016/vm1.cfm</t>
  </si>
  <si>
    <t>one car battery</t>
  </si>
  <si>
    <t>Charging Electric Cars</t>
  </si>
  <si>
    <t>Two story solar house</t>
  </si>
  <si>
    <t>Geothermal Chain Trencher</t>
  </si>
  <si>
    <t>Power Needed to lift window via motor</t>
  </si>
  <si>
    <t>RS-485</t>
  </si>
  <si>
    <t>Antenna</t>
  </si>
  <si>
    <t>wavelength (m)</t>
  </si>
  <si>
    <t>quarter wavelength (m)</t>
  </si>
  <si>
    <t>1/100 wavelength (cm)</t>
  </si>
  <si>
    <t>1/100 wavelength (mils)</t>
  </si>
  <si>
    <t>https://www.mdpi.com/1996-1073/5/9/3425/pdf</t>
  </si>
  <si>
    <t>Wind Turbine Blade Design</t>
  </si>
  <si>
    <t>Wind</t>
  </si>
  <si>
    <t>http://web.mit.edu/climateaction/ClimateChangeStatement-2015Oct21.pdf</t>
  </si>
  <si>
    <t>MIT</t>
  </si>
  <si>
    <t>mit conclusion of climate committee, 2015</t>
  </si>
  <si>
    <t>http://www.magazines007.com/pdf/High-Voltage-PCDesign.pdf</t>
  </si>
  <si>
    <t>High Voltage PCB Design</t>
  </si>
  <si>
    <t>High Voltage Printed Circuit Design &amp; Manufacturing Notebook</t>
  </si>
  <si>
    <t>http://www.risho.co.jp/english/product/products2/prepreg/index.html</t>
  </si>
  <si>
    <t>Insulation Material</t>
  </si>
  <si>
    <t>https://www.professionalplastics.com/professionalplastics/InsulatingMaterialsList.pdf</t>
  </si>
  <si>
    <t xml:space="preserve">COMMON INSULATING MATERIALS AVAILABLE FROM PROFESSIONAL PLASTICS </t>
  </si>
  <si>
    <t>Thin Film PV Solar</t>
  </si>
  <si>
    <t>https://biblio.ugent.be/publication/4238935/file/4238983.pdf</t>
  </si>
  <si>
    <t>THIN FILM SOLAR CELLS: AN OVERVIEW, Ben Minnaert, 2008</t>
  </si>
  <si>
    <t>https://www.epj-pv.org/articles/epjpv/full_html/2016/01/pv150013/pv150013.html</t>
  </si>
  <si>
    <t>Cell interconnection without glueing or soldering for crystalline Si photovoltaic modules (connectors)</t>
  </si>
  <si>
    <t>thermal conduction from floor slab to soil</t>
  </si>
  <si>
    <t>http://www.inase.org/library/2014/santorini/bypaper/SYSTEMS/SYSTEMS2-20.pdf</t>
  </si>
  <si>
    <t>https://www.comsol.com/model/forced-air-cooling-with-heat-sink-22041</t>
  </si>
  <si>
    <t>comsol heat transfer modeling software</t>
  </si>
  <si>
    <t>https://www.cse.org.uk/advice/renewable-energy/ground-source-heat-pumps</t>
  </si>
  <si>
    <t>gshp, savings per year</t>
  </si>
  <si>
    <t>ground source heat pump, wikipedia</t>
  </si>
  <si>
    <t>https://en.wikipedia.org/wiki/Geothermal_heat_pump#Environmental_impact</t>
  </si>
  <si>
    <t>CO2 savings relative to gas or electric</t>
  </si>
  <si>
    <t>https://en.wikipedia.org/wiki/Geothermal_heat_pump#Economics</t>
  </si>
  <si>
    <t>$ savings relative to gas or electric</t>
  </si>
  <si>
    <t>http://dma-eng.com/wp-content/uploads/2017/04/Ground_Source_Heat_Pumps_Presentation_Rev1_8-4-09.pdf</t>
  </si>
  <si>
    <t>gshp presentation</t>
  </si>
  <si>
    <t>https://www.in.gov/oed/files/GHPProgramreport.pdf</t>
  </si>
  <si>
    <t>gshp economics, state of indiana</t>
  </si>
  <si>
    <t>https://igshpa.org/</t>
  </si>
  <si>
    <t>int'l ground source heat pump association</t>
  </si>
  <si>
    <t>http://www.15000inc.com/wp/wp-content/uploads/Geothermal-Heat-Pump-Design-Manual.pdf</t>
  </si>
  <si>
    <t>GSHP design, thermal properties</t>
  </si>
  <si>
    <t>https://www.sintef.no/globalassets/sintef-energi/interact/tr-a7570-software-for-modelling-and-simulation-of-ground-source-heating-and-cooling-systems-2016.pdf</t>
  </si>
  <si>
    <t>Software for modelling and simulation of ground source heating and cooling system</t>
  </si>
  <si>
    <t>https://brage.bibsys.no/xmlui/handle/11250/2496158</t>
  </si>
  <si>
    <t>sintef software:</t>
  </si>
  <si>
    <t>https://www.comsol.com/blogs/geothermal-energy-using-earth-heat-cool-buildings/</t>
  </si>
  <si>
    <t>Geothermal Energy: Using the Earth to Heat and Cool Buildings, Comsol software</t>
  </si>
  <si>
    <t>https://www.comsol.com/blogs/modeling-geothermal-processes-comsol-software/</t>
  </si>
  <si>
    <t>Modeling Geothermal Processes with COMSOL Software</t>
  </si>
  <si>
    <t>http://www.equaonline.com/iceuser/pdf/UserGuideBoreholes.pdf</t>
  </si>
  <si>
    <t>Ground Source Thermal Models</t>
  </si>
  <si>
    <t>http://www.equaonline.com/iceuser/new_documentation.html</t>
  </si>
  <si>
    <t>Wikipedia</t>
  </si>
  <si>
    <t>Thermal Studies</t>
  </si>
  <si>
    <t>Comsol Software</t>
  </si>
  <si>
    <t>TR-A7570 Software</t>
  </si>
  <si>
    <t>Boreholes Software</t>
  </si>
  <si>
    <t>Manual</t>
  </si>
  <si>
    <t>Documentation</t>
  </si>
  <si>
    <t>https://igshpa.org/research-papers/</t>
  </si>
  <si>
    <t>Ground Source, List of Research Papers</t>
  </si>
  <si>
    <t>Ground Source</t>
  </si>
  <si>
    <t>https://shareok.org/bitstream/handle/11244/49340/oksd_igshpa_2017_Xing.pdf?sequence=1&amp;isAllowed=y</t>
  </si>
  <si>
    <t>A Model for Ground Temperature Estimations and Its Impact on Horizontal Ground Heat Exchanger Design</t>
  </si>
  <si>
    <t>https://hvac.okstate.edu/sites/default/files/Spitler_EGEC_2017_Keynote_Paper.pdf</t>
  </si>
  <si>
    <t>https://hvac.okstate.edu/sites/default/files/pubs/papers/2015/Gehlin_and_Spitler_2015_GHE_flow_velocities.pdf</t>
  </si>
  <si>
    <t xml:space="preserve">Effects of Ground Heat Exchanger Design Flow Velocities on System Performance of Ground Source Heat Pump Systems in Cold Climates </t>
  </si>
  <si>
    <t>Numerical modeling of slinky-coil horizontal ground heat exchangers</t>
  </si>
  <si>
    <t>https://www.sciencedirect.com/science/article/pii/S0375650511000514</t>
  </si>
  <si>
    <t>https://www.sciencedirect.com/science/article/pii/S0306261914012276</t>
  </si>
  <si>
    <t>Development and validation of a Slinky™ ground heat exchanger model</t>
  </si>
  <si>
    <t>https://hvac.okstate.edu/sites/default/files/pubs/papers/2014/Spitler_Xing_Malayappan_2014_IEAHPC.pdf</t>
  </si>
  <si>
    <t xml:space="preserve">A SIMPLE TOOL FOR SIMULATION OF GROUND SOURCE HEAT PUMP SYSTEMS </t>
  </si>
  <si>
    <t>Building and Environmental Thermal Systems Research Group (BETSRG) at Oklahoma State University</t>
  </si>
  <si>
    <t>https://hvac.okstate.edu/</t>
  </si>
  <si>
    <t>https://hvac.okstate.edu/glhepro/overview</t>
  </si>
  <si>
    <t>https://hvac.okstate.edu/sites/default/files/pubs/glhepro/GLHEPRO_5.0_Manual.pdf</t>
  </si>
  <si>
    <t>manual</t>
  </si>
  <si>
    <t>GLHEPRO Software (developed by oklahoma state)</t>
  </si>
  <si>
    <t>https://hvac.okstate.edu/faculty</t>
  </si>
  <si>
    <t>lab</t>
  </si>
  <si>
    <t>faculty</t>
  </si>
  <si>
    <t>https://hvac.okstate.edu/papers</t>
  </si>
  <si>
    <t>papers</t>
  </si>
  <si>
    <t>https://shareok.org/bitstream/handle/11244/49326/oksd_igshpa_2017_Liu.pdf?sequence=1&amp;isAllowed=y</t>
  </si>
  <si>
    <t>An Updated Assessment of the Technical Potential of GSHP</t>
  </si>
  <si>
    <t>https://lib.dr.iastate.edu/cgi/viewcontent.cgi?referer=https://www.google.com/&amp;httpsredir=1&amp;article=16436&amp;context=rtd</t>
  </si>
  <si>
    <t>GSHP Thesis</t>
  </si>
  <si>
    <t>An energy and cost analysis of residential groundsource heat pumps in Iowa, Sweka, 2008</t>
  </si>
  <si>
    <t>Latest Developments and Trends in GSHP Technology, 2017</t>
  </si>
  <si>
    <t>http://mn.gov/commerce-stat/pdfs/card-residential-gound-source-heat-pump-study.pdf</t>
  </si>
  <si>
    <t>Minnosota GSHP Assessment of Performance, Emissions, &amp; Economics</t>
  </si>
  <si>
    <t>https://www.takasago-fluidics.com/products/products_pump/transfer/</t>
  </si>
  <si>
    <t>piezoelectric fluid micro pump, magnet flow type (25KPa = 0.25 atm, 20ml/min)</t>
  </si>
  <si>
    <t>piezoelectric fluid micro pump, large flow type (35KPa = 0.35atm, 20ml/min)</t>
  </si>
  <si>
    <t>https://www.takasago-fluidics.com/p/pump/s/transfer/RP-TX</t>
  </si>
  <si>
    <t>RP-TX, peristaltic, fluid, 10uL/min, 0.3ATM</t>
  </si>
  <si>
    <t>https://www.google.com/search?rlz=1C1CHBF_enUS816US816&amp;q=micro+vacuum+pump&amp;tbm=isch&amp;source=univ&amp;sa=X&amp;ved=2ahUKEwjU3vjwqfjgAhUKh-AKHV4NC94QsAR6BAgCEAE</t>
  </si>
  <si>
    <t>images of small pumps</t>
  </si>
  <si>
    <t>https://www.knfusa.com/micro-air/</t>
  </si>
  <si>
    <t>small knf air pumps</t>
  </si>
  <si>
    <t>https://www.knfusa.com/products/oem-products/product/products/micro-pumps-for-airgas/micro-diaphragm-gas-pumps/</t>
  </si>
  <si>
    <t xml:space="preserve"> &gt; #NMS 030.1.2 DC-B (0.2ATM, 1x3x3")</t>
  </si>
  <si>
    <t>https://www.takasago-fluidics.com/products/products_pump/metering/</t>
  </si>
  <si>
    <t>takasago</t>
  </si>
  <si>
    <t>knf</t>
  </si>
  <si>
    <t>topsflo</t>
  </si>
  <si>
    <t>https://www.takasago-fluidics.com/products/eop/</t>
  </si>
  <si>
    <t>Eop Driven</t>
  </si>
  <si>
    <t>https://www.takasago-fluidics.com/p/pump/s/transfer/RP-Q1/</t>
  </si>
  <si>
    <t>RP-Q1, DC geared motor, liquid, 50Kpa=0.5Atm, 0.5 x 0.5 x 1.2"</t>
  </si>
  <si>
    <t xml:space="preserve">metering pumps, diaphram, liquid, </t>
  </si>
  <si>
    <t>https://www.takasago-fluidics.com/p/pump/s/transfer/APP/</t>
  </si>
  <si>
    <t xml:space="preserve"> piezoelectric micro pump, liquid, 0.2ATM</t>
  </si>
  <si>
    <t>focal flux</t>
  </si>
  <si>
    <t>karlsson</t>
  </si>
  <si>
    <t>sparkfun</t>
  </si>
  <si>
    <t>Micro Vacuum Pump</t>
  </si>
  <si>
    <t>https://pdfs.semanticscholar.org/be6c/eebfa83caf02e984c2b4e6eb96156c21ca7d.pdf</t>
  </si>
  <si>
    <t>theses</t>
  </si>
  <si>
    <t>A Study of Micromachined Displacement Pumps for Vacuum Generation (silicon)</t>
  </si>
  <si>
    <t>https://cds.cern.ch/record/1046850/files/p43.pdf</t>
  </si>
  <si>
    <t xml:space="preserve">Mechanical vacuum pumps </t>
  </si>
  <si>
    <t>http://ethesis.nitrkl.ac.in/7622/1/2015_Design_Sandeep.pdf</t>
  </si>
  <si>
    <t>Design and Modeling of Vacuum Pumping Systems for Laboratory Scale Applications</t>
  </si>
  <si>
    <t>https://www.micropumps.co.uk/?gclid=CjwKCAiAiJPkBRAuEiwAEDXZZb6sk-BezfQSfF9Gw73pq59cQCEKjE_Xh508Qgk3VxbQqNnJ2-txtRoCyEkQAvD_BwE</t>
  </si>
  <si>
    <t>tcs</t>
  </si>
  <si>
    <t>Contract Engineering - for High Performance Miniature Pumps</t>
  </si>
  <si>
    <t>https://www.micropumps.co.uk/TCSM410range.htm</t>
  </si>
  <si>
    <t>2x1x1", 0.08bar=0.08ATM, liquid</t>
  </si>
  <si>
    <t>https://en.wikipedia.org/wiki/Vacuum_pump</t>
  </si>
  <si>
    <t>Vacuum Pumps</t>
  </si>
  <si>
    <t>Wiki summary of vacuum pumps</t>
  </si>
  <si>
    <t>https://people.rit.edu/vwlsps/LabTech/Pumps.pdf</t>
  </si>
  <si>
    <t>types of vacuum pumps</t>
  </si>
  <si>
    <t>small pump</t>
  </si>
  <si>
    <t>&gt; picture</t>
  </si>
  <si>
    <t>https://vacaero.com/information-resources/vacuum-pump-technology-education-and-training/1039-an-introduction-to-vacuum-pumps.html</t>
  </si>
  <si>
    <t>An Introduction to Vacuum Pumps</t>
  </si>
  <si>
    <t>https://www.itep.kit.edu/downloads/28_Janicki.pdf</t>
  </si>
  <si>
    <t>Current Techniques and Challenges in the Design of Vacuum Pumps, Janicki</t>
  </si>
  <si>
    <t>Videos showing drilling</t>
  </si>
  <si>
    <t>Ground Source Heat Pump Borehole Installation</t>
  </si>
  <si>
    <t>https://www.youtube.com/watch?v=rlVHXJ6BCF4</t>
  </si>
  <si>
    <t>https://www.saginawpipe.com/pipe/</t>
  </si>
  <si>
    <t>weight of steel pipe</t>
  </si>
  <si>
    <t>LBs/Ft</t>
  </si>
  <si>
    <t># of pipes</t>
  </si>
  <si>
    <t>https://agmetalminer.com/metal-prices/stainless-steel/</t>
  </si>
  <si>
    <t>https://sciencing.com/about-6711987-price-steel-vs--stainless-steel.html</t>
  </si>
  <si>
    <t>cost of sheet stainless steel, 304 2B SHEET, $1.44/LBs</t>
  </si>
  <si>
    <t>steel covered in zinc is $.30 to $.80/LBs, Stainless is $3/LBs</t>
  </si>
  <si>
    <t>cost/LBs</t>
  </si>
  <si>
    <t>1.25" dia, 0.2" wall, steel</t>
  </si>
  <si>
    <t>1.5" dia, 0.15" wall, steel</t>
  </si>
  <si>
    <t>stainless steel</t>
  </si>
  <si>
    <t>zinc coated steel</t>
  </si>
  <si>
    <t>Costs of Installing Ground Source</t>
  </si>
  <si>
    <t>Support of ORNL to Conduct Geothermal Vision Study, Spitler, 2017</t>
  </si>
  <si>
    <t xml:space="preserve"> Costs of Installing Ground Source</t>
  </si>
  <si>
    <t># of holes</t>
  </si>
  <si>
    <t>typical house</t>
  </si>
  <si>
    <t>typ house, hard rock</t>
  </si>
  <si>
    <t>typ house, soft rock</t>
  </si>
  <si>
    <t>typ house, clay</t>
  </si>
  <si>
    <t>typ house, sand</t>
  </si>
  <si>
    <t>Cost of installing vertical ground source, typical house</t>
  </si>
  <si>
    <t>typ house, AVG</t>
  </si>
  <si>
    <t>length of each hole, ft</t>
  </si>
  <si>
    <t># of pipes per hole (source + return)</t>
  </si>
  <si>
    <t>total loop length</t>
  </si>
  <si>
    <t>cost per ft of loop (2x depth), parts+labor</t>
  </si>
  <si>
    <t>https://www.dropbox.com/s/ro7uixlwp7dt1ld/Report_Rev_08.pdf</t>
  </si>
  <si>
    <t>Support of ORNL to Conduct Geothermal Vision Study</t>
  </si>
  <si>
    <t>Support of ORNL to Conduct Geothermal Vision Study( https://www.dropbox.com/s/ro7uixlwp7dt1ld/Report_Rev_08.pdf )</t>
  </si>
  <si>
    <t>Cost/ft of installation (Table 4-4 .. 4-7)</t>
  </si>
  <si>
    <t>Pages 16..24</t>
  </si>
  <si>
    <t>* Spitler Verbal 3/17/2019:  250 ft deep, 1 per ton of capacity, 3 tons for 2k sq ft, 3 holes, 1500 ft per loop (250 * 3 * 2)</t>
  </si>
  <si>
    <t>Spitler's Study of Costs</t>
  </si>
  <si>
    <t>Loop Lengths</t>
  </si>
  <si>
    <t>1302 = Avg loop Lengths (Table 4-18)</t>
  </si>
  <si>
    <t>total loop length(ft)</t>
  </si>
  <si>
    <t>total parts+labor cost, ground source installation</t>
  </si>
  <si>
    <t>Building Codes and Regulations</t>
  </si>
  <si>
    <t>https://solarprofessional.com/articles/design-installation/electrical-codes-and-standards-applicable-to-pv-installations#.XI_0QSJKj9R</t>
  </si>
  <si>
    <t>Electrical Codes and Standards Applicable to PV Installations</t>
  </si>
  <si>
    <t>http://www.solarabcs.org/codes-standards/ASTM/index.html</t>
  </si>
  <si>
    <t>ASTM International, Solar Codes</t>
  </si>
  <si>
    <t>Wetting of Soil</t>
  </si>
  <si>
    <t>Amount of Soil</t>
  </si>
  <si>
    <t>depth (ft)</t>
  </si>
  <si>
    <t>wet soil radius (ft)</t>
  </si>
  <si>
    <t>wet soil volume (ft^3)</t>
  </si>
  <si>
    <t>https://www.nature.com/scitable/knowledge/library/soil-water-dynamics-103089121</t>
  </si>
  <si>
    <t>gallons per cubic foot</t>
  </si>
  <si>
    <t>% of cubic foot that is water</t>
  </si>
  <si>
    <t>gallons of water per cubic foot</t>
  </si>
  <si>
    <t>Water in Soil</t>
  </si>
  <si>
    <t># of gallons H20 to wet 5.6K cubic ft</t>
  </si>
  <si>
    <t>https://www.cambridgema.gov/~/media/Files/financedepartment/waterandsewerrates/fy18watersewerincreaseletter.pdf</t>
  </si>
  <si>
    <t>Water cost per gallon</t>
  </si>
  <si>
    <t>Water cost</t>
  </si>
  <si>
    <t xml:space="preserve">  &gt; cubic meters</t>
  </si>
  <si>
    <t>Water Table</t>
  </si>
  <si>
    <t>https://www.usgs.gov/faqs/how-can-i-find-depth-water-table-a-specific-location?qt-news_science_products=0#qt-news_science_products</t>
  </si>
  <si>
    <t>usgs water table comments</t>
  </si>
  <si>
    <t>https://water.usgs.gov/ogw/aquifer/map.html</t>
  </si>
  <si>
    <t>usa acquifier map</t>
  </si>
  <si>
    <t>https://water.usgs.gov/ogw/aquifer/USAaquiferMAP11_17.pdf</t>
  </si>
  <si>
    <t>http://techalive.mtu.edu/meec/module04/Basics3.htm</t>
  </si>
  <si>
    <t>types of acquifiers</t>
  </si>
  <si>
    <t>https://goo.gl/images/v3X7zo</t>
  </si>
  <si>
    <t>water table depth map, simulated</t>
  </si>
  <si>
    <t>https://www.ducksters.com/science/earth_science/soil_science.php</t>
  </si>
  <si>
    <t>Soil Layers</t>
  </si>
  <si>
    <t>Earth Science for Kids</t>
  </si>
  <si>
    <t>https://agupubs.onlinelibrary.wiley.com/doi/full/10.1002/2016MS000686</t>
  </si>
  <si>
    <t>bedrock depth study</t>
  </si>
  <si>
    <t>https://en.wikipedia.org/wiki/Bedrock</t>
  </si>
  <si>
    <t>bedrock, wiki</t>
  </si>
  <si>
    <t>https://pubs.usgs.gov/wri/1993/4115/report.pdf</t>
  </si>
  <si>
    <t>bedrock wells, Mass.</t>
  </si>
  <si>
    <t>depth to bedrock, usa, medium 15m (45ft), mean 9m (27ft)</t>
  </si>
  <si>
    <t>https://waterdata.usgs.gov/ga/nwis/current/?type=gw</t>
  </si>
  <si>
    <t>depth to water, georgia</t>
  </si>
  <si>
    <t>https://waterdata.usgs.gov/nwis/gw</t>
  </si>
  <si>
    <t>usgs groundwater</t>
  </si>
  <si>
    <t>http://www.co.burlington.nj.us/DocumentCenter/View/2853/LiDARandGISforMappingWaterTableDepth_BobNicholson_111314?bidId=</t>
  </si>
  <si>
    <t>depth to water table, NJ</t>
  </si>
  <si>
    <t>Depth to WaterTable</t>
  </si>
  <si>
    <t>Depth to Bedrock</t>
  </si>
  <si>
    <t>https://www.youtube.com/watch?v=UfgyJkmZgK8&amp;app=desktop</t>
  </si>
  <si>
    <t>5min video on groundwater</t>
  </si>
  <si>
    <t>https://groundwaterwatch.usgs.gov/default.asp</t>
  </si>
  <si>
    <t>groundwater watch</t>
  </si>
  <si>
    <t>https://www.google.com/search?q=how+deep+is+frost+line&amp;rlz=1C1CHBF_enUS816US816&amp;tbm=isch&amp;source=iu&amp;ictx=1&amp;fir=DNmMFVwsSumXCM%253A%252CLXxr7vtWcT7N-M%252C_&amp;vet=1&amp;usg=AI4_-kTIZp4VSmlua_hfOActrea8aONf-w&amp;sa=X&amp;ved=2ahUKEwjz6ZCHkpvhAhWkY98KHaozCfsQ9QEwAHoECAwQCA#imgrc=DNmMFVwsSumXCM:</t>
  </si>
  <si>
    <t>Frost Line</t>
  </si>
  <si>
    <t>https://www.new-learn.info/packages/clear/thermal/buildings/building_fabric/properties/conductivity.html</t>
  </si>
  <si>
    <t>https://www.geothermal-energy.org/pdf/IGAstandard/WGC/2010/2952.pdf</t>
  </si>
  <si>
    <t>conductivity</t>
  </si>
  <si>
    <t>https://web.mst.edu/~rogersda/umrcourses/ge441/Types-of-Drilling-Rigs.pdf</t>
  </si>
  <si>
    <t>Drill Rigs</t>
  </si>
  <si>
    <t>different type of drilling rigs (trucks with drill)</t>
  </si>
  <si>
    <t>Photos of 50 different drilling machines</t>
  </si>
  <si>
    <t>2k Square foot roof using existing panels</t>
  </si>
  <si>
    <t>panel size:</t>
  </si>
  <si>
    <t>sq ft per panel</t>
  </si>
  <si>
    <t>sq ft total array</t>
  </si>
  <si>
    <t>number of panels</t>
  </si>
  <si>
    <t>https://www.solarreviews.com/blog/10kw-solar-systems-are-becoming-very-popular-here-is-why</t>
  </si>
  <si>
    <t>Article on 10KW roof</t>
  </si>
  <si>
    <t>https://en.wikipedia.org/wiki/Zero-energy_building</t>
  </si>
  <si>
    <t>zero energy buildings, wiki</t>
  </si>
  <si>
    <t>math</t>
  </si>
  <si>
    <t>ref</t>
  </si>
  <si>
    <t>https://zeroenergy.com/portfolio/architecture</t>
  </si>
  <si>
    <t>examples of zero energy houses</t>
  </si>
  <si>
    <t>https://www.youtube.com/watch?v=st-Gd1ZcFyM&amp;feature=youtu.be</t>
  </si>
  <si>
    <t>Net Zero Homes: Why it's easy to build one now!, Ewers Architecture, Video</t>
  </si>
  <si>
    <t>https://cdn.ymaws.com/www.nibs.org/resource/resmgr/BEST/BEST2_EE6-4.pdf</t>
  </si>
  <si>
    <t>17 walls studied with R-ratings above R40</t>
  </si>
  <si>
    <t>http://www.swinter.com/assets/Practical_Residential_Wall_Systems.pdf</t>
  </si>
  <si>
    <t xml:space="preserve">Practical Residential Wall Systems: R-30 and Beyond </t>
  </si>
  <si>
    <t>http://www.greenenergyfutures.ca/episode/insulation-101</t>
  </si>
  <si>
    <t>132. Insulation 101: One builder’s secret blueprint for a net-zero home</t>
  </si>
  <si>
    <t>4 YEARS, 5 WALLS, 6 PROJECTS:  PASSIVE HOUSE LESSONS FROM THE NORTHWEST</t>
  </si>
  <si>
    <t>https://hammerandhand.com/field-notes/passive-house-lessons-pacific-northwest/</t>
  </si>
  <si>
    <t>https://www.wconline.com/articles/89616-barrier-requirements-for-spf</t>
  </si>
  <si>
    <t>Barrier Requirements for SPF (spray polyurethane foam)</t>
  </si>
  <si>
    <t>https://www.energy.gov/energysaver/weatherize/insulation/types-insulation</t>
  </si>
  <si>
    <t>https://www.energy.gov/energysaver/weatherize/insulation/where-insulate-home</t>
  </si>
  <si>
    <t>Insulation, where, us gov't</t>
  </si>
  <si>
    <t>Insulation, types us gov't</t>
  </si>
  <si>
    <t>https://buildingscience.com/sites/default/files/migrate/pdf/BA-0903_High-R_Value_Walls_Case_Study_rev_2014.pdf</t>
  </si>
  <si>
    <t>Building America Special Research Project High-R Walls Case Study Analysis</t>
  </si>
  <si>
    <t>Table 16 -- summary</t>
  </si>
  <si>
    <t>https://buildingscience.com/sites/default/files/migrate/pdf/BA-1005_High%20R-Value_Walls_Case_Study.pdf</t>
  </si>
  <si>
    <t xml:space="preserve">Building America Special Research Project: High R-Value Enclosures for High Performance Residential Buildings in All Climate Zones </t>
  </si>
  <si>
    <t>Length</t>
  </si>
  <si>
    <t>Width</t>
  </si>
  <si>
    <t>avg h</t>
  </si>
  <si>
    <t>total wall</t>
  </si>
  <si>
    <t>dwg A</t>
  </si>
  <si>
    <t>http://aidomes.com/insulation-comparisons/</t>
  </si>
  <si>
    <t>total R</t>
  </si>
  <si>
    <t>insulation</t>
  </si>
  <si>
    <t>R per inch</t>
  </si>
  <si>
    <t>https://www.sips.org/technical-information/sip-r-values-calculated-r-values</t>
  </si>
  <si>
    <t>SIP R-Values (Calculated R-Values)</t>
  </si>
  <si>
    <t>Expanded polystyrene (EPS)</t>
  </si>
  <si>
    <t>Extruded polystyrene (XPS)</t>
  </si>
  <si>
    <t>R/inch</t>
  </si>
  <si>
    <t>https://www.sips.org/about/what-are-sips</t>
  </si>
  <si>
    <t>SIP Association</t>
  </si>
  <si>
    <t>https://www.sips.org/downloads/Eric-Tompos-SIP-Eng-Design-Guide-TFEC-Symposium-2017-05-19.pdf</t>
  </si>
  <si>
    <t>SIPS, structural issues, load</t>
  </si>
  <si>
    <t>https://www.sips.org/downloads/rsmeanssipscoststudyreportjan2007.pdf</t>
  </si>
  <si>
    <t>Detailed costing of SIP house</t>
  </si>
  <si>
    <t>Polyurethane (foamed-in-place(</t>
  </si>
  <si>
    <t>EPS</t>
  </si>
  <si>
    <t>XPS</t>
  </si>
  <si>
    <t>PUR</t>
  </si>
  <si>
    <t>abreviation</t>
  </si>
  <si>
    <t>https://scholar.colorado.edu/cgi/viewcontent.cgi?article=2109&amp;context=honr_theses</t>
  </si>
  <si>
    <t>Unbiased review of sips, thesis</t>
  </si>
  <si>
    <t>Graphite Polystyrene (GPS)</t>
  </si>
  <si>
    <t>GPS</t>
  </si>
  <si>
    <t>https://www.youtube.com/watch?v=aiH4zXEE60g</t>
  </si>
  <si>
    <t>eps vs xps video</t>
  </si>
  <si>
    <t>https://univfoam.com/pricing-calculators/eps-pricing</t>
  </si>
  <si>
    <t>eps pricing calculator</t>
  </si>
  <si>
    <t>4x8x1 panels:</t>
  </si>
  <si>
    <t># of 4'x8'x1" panels</t>
  </si>
  <si>
    <t>xps</t>
  </si>
  <si>
    <t>https://www.homedepot.com/p/Owens-Corning-FOAMULAR-150-1-1-2-in-x-4-ft-x-8-ft-R-7-5-Scored-Squared-Edge-Rigid-Foam-Board-Insulation-Sheathing-88WD/202085958</t>
  </si>
  <si>
    <t>Cost/ std panel</t>
  </si>
  <si>
    <t>Total Cost</t>
  </si>
  <si>
    <t>eps</t>
  </si>
  <si>
    <t>https://www.homedepot.com/b/Building-Materials-Insulation-Foam-Board-Insulation/EPS/N-5yc1vZbaxxZ1z0w1xr</t>
  </si>
  <si>
    <t>https://www.homedepot.com/b/Building-Materials-Insulation-Foam-Board-Insulation/XPS/N-5yc1vZbaxxZ1z0w1xo?storeSelection=2623,2663,2686,2653,2614</t>
  </si>
  <si>
    <t>https://www.homedepot.com/p/Super-TUFF-R-2-in-x-4-ft-x-8-ft-R-13-Insulating-Sheathing-99060464/300528092</t>
  </si>
  <si>
    <t>Polyisocyanurate</t>
  </si>
  <si>
    <t>Cost per R</t>
  </si>
  <si>
    <t>Figure 5 - window</t>
  </si>
  <si>
    <t>Ref</t>
  </si>
  <si>
    <t>Options</t>
  </si>
  <si>
    <t>10.25" SIP</t>
  </si>
  <si>
    <t>R=36 whole wall, R=39 nominal</t>
  </si>
  <si>
    <t>2x6 with 4" Polyis Sheathing</t>
  </si>
  <si>
    <t>R</t>
  </si>
  <si>
    <t>Thickness</t>
  </si>
  <si>
    <t>Sheating Cost</t>
  </si>
  <si>
    <t>R26 sheating + R15 wall</t>
  </si>
  <si>
    <t>High R-Value Construction</t>
  </si>
  <si>
    <t>Summary of Sheathing</t>
  </si>
  <si>
    <t>cost/standard panel (4x8x1)</t>
  </si>
  <si>
    <t>2K sq ft house</t>
  </si>
  <si>
    <t>Ground Source, 20ft down, Horizontal</t>
  </si>
  <si>
    <t xml:space="preserve">total </t>
  </si>
  <si>
    <t>cu ft</t>
  </si>
  <si>
    <t>cu yard</t>
  </si>
  <si>
    <t>https://www.homewyse.com/services/cost_to_excavate_land.html</t>
  </si>
  <si>
    <t>cost to excavate</t>
  </si>
  <si>
    <t>per cu yd</t>
  </si>
  <si>
    <t># of std panels, 1 layer</t>
  </si>
  <si>
    <t xml:space="preserve">   total, all layers</t>
  </si>
  <si>
    <t>1 "std panel" is 4' x 8' x 1"</t>
  </si>
  <si>
    <t>https://soundproofliving.com/soundproofing-materials/</t>
  </si>
  <si>
    <t>materials</t>
  </si>
  <si>
    <t>https://www.homedepot.com/b/Flooring/N-5yc1vZaq7r/Ntk-tagger/Ntt-sound%2Bproofing%2Bmaterial?NCNI-5&amp;storeSelection=2623,2663,2686,2653,2614</t>
  </si>
  <si>
    <t>home depot</t>
  </si>
  <si>
    <t>sound proof flooring</t>
  </si>
  <si>
    <t>150sf room</t>
  </si>
  <si>
    <t>walls</t>
  </si>
  <si>
    <t>height</t>
  </si>
  <si>
    <t>ceiling and floor</t>
  </si>
  <si>
    <t>all 6 sides</t>
  </si>
  <si>
    <t>Thermoquiet 250 sq. ft. 4 ft. x 62.5 ft. x 1/8 in. 5 in 1 Thermal Acoustic Insulated Underlayment</t>
  </si>
  <si>
    <t>cost per sq ft</t>
  </si>
  <si>
    <t>cost for 2k sf</t>
  </si>
  <si>
    <t xml:space="preserve">Sound Proofing </t>
  </si>
  <si>
    <t>references</t>
  </si>
  <si>
    <t>Sound Proofing under flooring</t>
  </si>
  <si>
    <t>wall</t>
  </si>
  <si>
    <t>One 15w x 8h wall</t>
  </si>
  <si>
    <t># of 8x4 ft panels</t>
  </si>
  <si>
    <t>https://www.uline.com/BL_2385/Soundproofing-Foam</t>
  </si>
  <si>
    <t>uline 3" thick foam, $8/sq ft</t>
  </si>
  <si>
    <t>https://www.soundproofingtips.com/soundproofing-materials/</t>
  </si>
  <si>
    <t>types of sound proofing materials</t>
  </si>
  <si>
    <t>https://www.amazon.com/Recording-Studio-Acoustical-Treatments/b/ref=dp_bc_aui_C_4?ie=UTF8&amp;node=11975721</t>
  </si>
  <si>
    <t>amazon, acoustic treatments</t>
  </si>
  <si>
    <t>https://www.amazon.com/Pack-Charcoal-Acoustic-Absorption-Treatment/dp/B01KKNO9QW/ref=sr_1_24?fst=as%3Aoff&amp;qid=1556383938&amp;refinements=p_72%3A1248939011&amp;rnid=1248937011&amp;s=musical-instruments&amp;sr=1-24</t>
  </si>
  <si>
    <t>Foamily 6 Pack - Ice Blue/Charcoal Acoustic Foam Sound Absorption Pyramid Studio Treatment Wall Panels, 2" X 12" X 12"</t>
  </si>
  <si>
    <t>total for 15w x 8h wall</t>
  </si>
  <si>
    <t>https://www.soundproofingtips.com/how-to-use-soundproof-drywall-sheetrock/</t>
  </si>
  <si>
    <t>sound proof drywall</t>
  </si>
  <si>
    <t xml:space="preserve"> &gt; nrc .65 (65% absorbed), designed to absorb echo in a room, not block sounds from entering room</t>
  </si>
  <si>
    <t>https://workingwalls.com/nrc-and-stc-what-are-they-whats-the-difference/</t>
  </si>
  <si>
    <t>nrc and stc</t>
  </si>
  <si>
    <t>https://www.amazon.com/ATS-Acoustic-24x48x2-Beveled-Natural/dp/B002WLF0BY?psc=1&amp;SubscriptionId=AKIAJ5D3JAXJBKMXQPHQ&amp;tag=sndprf-20&amp;linkCode=xm2&amp;camp=2025&amp;creative=165953&amp;creativeASIN=B002WLF0BY</t>
  </si>
  <si>
    <t>ATS Acoustic Panel 24x48x2 Inches, Beveled Edge, in Natural</t>
  </si>
  <si>
    <t>https://www.homedepot.com/p/R-Tech-1-in-x-4-ft-x-8-ft-R-3-85-Insulating-Sheathing-320821/202532854</t>
  </si>
  <si>
    <t>https://www.bestmaterials.com/detail.aspx?ID=23032</t>
  </si>
  <si>
    <t>InsulLam Insulation Board, 6 inch with 7/16 inch OSB</t>
  </si>
  <si>
    <t>EPS, 6"</t>
  </si>
  <si>
    <t>https://www.ecohome.net/guides/2254/polyisocyanurate-foam-is-a-hot-new-building-product-learn-where-and-where-not-to-use-it/</t>
  </si>
  <si>
    <t>RIGID INSULATION PANELS: WHICH ONES TO USE FOR DIFFERENT APPLICATIONS</t>
  </si>
  <si>
    <t>PIR</t>
  </si>
  <si>
    <t>Polyisocyanurate (PIR)</t>
  </si>
  <si>
    <t>https://zeroenergyproject.org/build/twelve-steps-affordable-zero-energy-home-construction-design/specify-highly-insulated-windows-doors/</t>
  </si>
  <si>
    <t>https://www.koemmerling.com/en/products/shutter-systems/rolaplus-roller-shutter-box-systems/</t>
  </si>
  <si>
    <t>https://www.neuffer-windows.com/wood-entry-doors.php</t>
  </si>
  <si>
    <t>https://www.neuffer-windows.com/</t>
  </si>
  <si>
    <t>Rolled Shutters, External or Internal</t>
  </si>
  <si>
    <t>neuffer, doors, german quality</t>
  </si>
  <si>
    <t>neuffer, windows, german quality</t>
  </si>
  <si>
    <t>https://www.neuffer-windows.com/roller-shutters-front-mounted.php</t>
  </si>
  <si>
    <t>https://www.neuffer-windows.com/roller-shutters-top-mounted.php</t>
  </si>
  <si>
    <t>https://www.koemmerling.com/en/</t>
  </si>
  <si>
    <t>koemmerling, quality german brand</t>
  </si>
  <si>
    <t>https://www.josko.com/en/products/windows/</t>
  </si>
  <si>
    <t>josko, quality german brand</t>
  </si>
  <si>
    <t>SolarSage (list of manufacturers, list of suppliers, get quotes, list of prices)</t>
  </si>
  <si>
    <t>https://news.energysage.com/best-solar-panel-manufacturers-usa/</t>
  </si>
  <si>
    <t>list of top 10 (largest) solar manufacturers</t>
  </si>
  <si>
    <t>https://www.pv-tech.org/editors-blog/top-10-solar-module-suppliers-in-2018</t>
  </si>
  <si>
    <t>Fascade Rock on Front</t>
  </si>
  <si>
    <t>https://www.homedepot.com/s/veneer%2520stone?NCNI-5</t>
  </si>
  <si>
    <t>total cost</t>
  </si>
  <si>
    <t>front wall</t>
  </si>
  <si>
    <t>front garage</t>
  </si>
  <si>
    <t>materials cost/sq ft</t>
  </si>
  <si>
    <t>6 sided surface area</t>
  </si>
  <si>
    <t>sq in</t>
  </si>
  <si>
    <t>AL foil thickness</t>
  </si>
  <si>
    <t>AL cubic inches</t>
  </si>
  <si>
    <t>AL LBs per cubic inch</t>
  </si>
  <si>
    <t>AL Lbs</t>
  </si>
  <si>
    <t>AL $ per LBs</t>
  </si>
  <si>
    <t>wall VIP</t>
  </si>
  <si>
    <t>in ^ 3</t>
  </si>
  <si>
    <t>LBs/in^3</t>
  </si>
  <si>
    <t>$/LBs</t>
  </si>
  <si>
    <t>$ for AL</t>
  </si>
  <si>
    <t>https://www.buildingscience.com/documents/information-sheets/info-502-temperature-dependent-r-value</t>
  </si>
  <si>
    <t>Info-502: Temperature Dependence of R-values in Polyisocyanurate Roof Insulation</t>
  </si>
  <si>
    <t>https://www.energyvanguard.com/blog/59419/Big-News-The-R-Value-of-Insulation-Is-Not-a-Constant</t>
  </si>
  <si>
    <t>Xps/Eps/Pir vs temperature</t>
  </si>
  <si>
    <t>https://www.buildingscience.com/documents/reports/rr-1401-design-challenges-nist-net-zero-energy-residential-test-facility/view</t>
  </si>
  <si>
    <t>RR-1401: Design Challenges of the NIST Net Zero Energy Residential Test Facility</t>
  </si>
  <si>
    <t>https://bradburybrothers.com/blog/pros-cons-hybrid-water-heaters/</t>
  </si>
  <si>
    <t>Hot Water Heaters</t>
  </si>
  <si>
    <t>Pros of Hybrid Hot Water Heaters</t>
  </si>
  <si>
    <t>https://www.energy.gov/energysaver/water-heating/heat-pump-water-heaters</t>
  </si>
  <si>
    <t>Heat pump water heater</t>
  </si>
  <si>
    <t>https://www.miamihp.com/support.php</t>
  </si>
  <si>
    <t>Miami Heat Pumps</t>
  </si>
  <si>
    <t>30KW,</t>
  </si>
  <si>
    <t>270A</t>
  </si>
  <si>
    <t>500 sq per ton, for heating and cooling, typically</t>
  </si>
  <si>
    <t>ground source</t>
  </si>
  <si>
    <t>dc superheater -- bioproduct of hot water</t>
  </si>
  <si>
    <t>http://www.herbstanford.net/sbd.pdf</t>
  </si>
  <si>
    <t>Zero Energy Housing</t>
  </si>
  <si>
    <t xml:space="preserve">SUSTAINABLE DESIGN, by Herbert W. Stanford III, PE </t>
  </si>
  <si>
    <t>http://www.polarpower.org/</t>
  </si>
  <si>
    <t>PolarPower.org, funded by NSF</t>
  </si>
  <si>
    <t>https://pvwatts.nrel.gov/</t>
  </si>
  <si>
    <t>PVWATTS - calculator for solar, funded by nrel</t>
  </si>
  <si>
    <t>solar installers near 02139, USA</t>
  </si>
  <si>
    <t>Solar Installers</t>
  </si>
  <si>
    <t>https://www.energysage.com/solar-panels/solar-companies/ma/middlesex-county/cambridge/</t>
  </si>
  <si>
    <t>google:</t>
  </si>
  <si>
    <t>list of 10 solar installers in boston area w/ reviews</t>
  </si>
  <si>
    <t xml:space="preserve">400 hot water </t>
  </si>
  <si>
    <t>r40 walls, r80 roof ( std r16 and r40 roof)</t>
  </si>
  <si>
    <t>7 to 9 gallons per minute, circulate water, ground source</t>
  </si>
  <si>
    <t>Miami Heat Pumps, phone conversation, (866)-407-8535, sales (Noa), engineer will call me, Avi Miami FL, Avi@MiamiHp.com</t>
  </si>
  <si>
    <t>water to water</t>
  </si>
  <si>
    <t xml:space="preserve">two systems: water to water, chilled water air handler talk to hvac system, </t>
  </si>
  <si>
    <t>reserve tank</t>
  </si>
  <si>
    <t>canada customers, 1 to 3 zero energy manatoba canada, use miami and install solar</t>
  </si>
  <si>
    <t xml:space="preserve"> -- </t>
  </si>
  <si>
    <t xml:space="preserve">3 ton heat pump, 220vac + 130A, </t>
  </si>
  <si>
    <t xml:space="preserve">15 ton unit, focuses on 400gallons, </t>
  </si>
  <si>
    <t xml:space="preserve">7 g/min, into radiators, for 2000 sq ft, </t>
  </si>
  <si>
    <t>7 gal/min * 60 min = 400 gallon, 10F degrees each circulation, 3 cycles, 3hrs</t>
  </si>
  <si>
    <t>400g reduced 10F in one hour</t>
  </si>
  <si>
    <t>Heat Pump Manufacturers</t>
  </si>
  <si>
    <t>F</t>
  </si>
  <si>
    <t>https://rimstar.org/renewnrg/heat_transfer_loss_calculations.htm</t>
  </si>
  <si>
    <t>R rating</t>
  </si>
  <si>
    <t>BTU</t>
  </si>
  <si>
    <t>surface area, exterior wall</t>
  </si>
  <si>
    <t>surface area, roof</t>
  </si>
  <si>
    <t>R rating, exterior wall</t>
  </si>
  <si>
    <t>R rating, roof</t>
  </si>
  <si>
    <t>typ 2ksf house</t>
  </si>
  <si>
    <t>ze1</t>
  </si>
  <si>
    <t>BTU/hr</t>
  </si>
  <si>
    <t>energy tsfr, exterior wall</t>
  </si>
  <si>
    <t>energy tsfr, roof</t>
  </si>
  <si>
    <t>energy tsfr, total</t>
  </si>
  <si>
    <t>hours</t>
  </si>
  <si>
    <t>Solar Array</t>
  </si>
  <si>
    <t xml:space="preserve">    energy/day</t>
  </si>
  <si>
    <t>Avi@MiamiHp.com</t>
  </si>
  <si>
    <t>kW</t>
  </si>
  <si>
    <t>kWHr</t>
  </si>
  <si>
    <t xml:space="preserve">    energy when sunny</t>
  </si>
  <si>
    <t xml:space="preserve">    hrs/day of sun</t>
  </si>
  <si>
    <t>kWHr/day</t>
  </si>
  <si>
    <t>% of total</t>
  </si>
  <si>
    <t>http://www.wrecc.com/understanding-heat-pumps-2/</t>
  </si>
  <si>
    <t>gallons</t>
  </si>
  <si>
    <t>starting temp</t>
  </si>
  <si>
    <t>walls energy loss over 24hrs</t>
  </si>
  <si>
    <t>BTU/day</t>
  </si>
  <si>
    <t>https://michaelbluejay.com/electricity/solar-water-heating.html</t>
  </si>
  <si>
    <t>pre-heating hot water w/ solar</t>
  </si>
  <si>
    <t>surface area, floor</t>
  </si>
  <si>
    <t>R rating, floor</t>
  </si>
  <si>
    <t>Energy Stored in Water</t>
  </si>
  <si>
    <t>House</t>
  </si>
  <si>
    <t>Energy thru Walls</t>
  </si>
  <si>
    <t>% of solar into heating H2O</t>
  </si>
  <si>
    <t>Power into heating H20</t>
  </si>
  <si>
    <t>Energy Pumped into Water</t>
  </si>
  <si>
    <t>heat pump tons</t>
  </si>
  <si>
    <t>energy tsfr, floor</t>
  </si>
  <si>
    <t>Temperature</t>
  </si>
  <si>
    <t>Ratio of Solar Energy Generated to House Heating Consumed</t>
  </si>
  <si>
    <t>ratio</t>
  </si>
  <si>
    <t>Room to Outdoor temp difference</t>
  </si>
  <si>
    <t>%</t>
  </si>
  <si>
    <t>final temperature</t>
  </si>
  <si>
    <t>energy (kHr) = gallons * tempDiff(f) * 0.0024</t>
  </si>
  <si>
    <t>tempDiff(F) = energy (kHr) / (gallons * 0.0024)</t>
  </si>
  <si>
    <t>degrees heated during storage</t>
  </si>
  <si>
    <t>energy stored in water</t>
  </si>
  <si>
    <t>energy from H2O to house heating</t>
  </si>
  <si>
    <t>F/Hr</t>
  </si>
  <si>
    <t>H20 temp cooling per hr</t>
  </si>
  <si>
    <t>Stored Water Circulates into Radiators inside ducts (one per room), 20hrs/day</t>
  </si>
  <si>
    <t>Floor Insulation</t>
  </si>
  <si>
    <t>https://www.homedepot.com/p/Owens-Corning-R-38-EcoTouch-PINK-Unfaced-Fiberglass-Insulation-Batt-24-in-x-48-in-8-Bags-BU81/205471557</t>
  </si>
  <si>
    <t>cost/sq ft</t>
  </si>
  <si>
    <t>R38 Batt between 2x6</t>
  </si>
  <si>
    <t>R (batt only)</t>
  </si>
  <si>
    <t>R (Batt + 2x6)</t>
  </si>
  <si>
    <t>R (2" thick)</t>
  </si>
  <si>
    <t>Polyisocyanurate (PIR), 2"</t>
  </si>
  <si>
    <t>Info@GreatSkySolar.com' -- sent email april 29</t>
  </si>
  <si>
    <t>sales@123zeroenergy.com</t>
  </si>
  <si>
    <t>https://www.pvi.com/products/commercial-dual-energy-water-heaters.htm</t>
  </si>
  <si>
    <t>PVI, Dual Energy Heaters</t>
  </si>
  <si>
    <t>http://www.solarpanelsplus.com/products/solar-storage-tanks/</t>
  </si>
  <si>
    <t>solar tanks</t>
  </si>
  <si>
    <t>http://www.solarpanelsplus.com/pdfs/spec-sheet-niles-tank-jacketed-and-insulated-large-volume-solar-tanks.pdf</t>
  </si>
  <si>
    <t>https://en.wikipedia.org/wiki/Tesla_Powerwall</t>
  </si>
  <si>
    <t>10' x 4' tank w/ insulation, 500 gallons, 1100 Lbs</t>
  </si>
  <si>
    <t>Battery Storage</t>
  </si>
  <si>
    <t>Water Storage (e.g. 500gallons, 100KWHr, $10K for storage tank)</t>
  </si>
  <si>
    <t>Tesla Battery Pack, $7K for 13kWHr</t>
  </si>
  <si>
    <t>$ per kWHr</t>
  </si>
  <si>
    <t>500 gallon water tank</t>
  </si>
  <si>
    <t>http://www.sunmaxxsolar.com/shop/shop-stormaxx-pressurized-buffer-tanks/500-gallon-pressurized-buffer-tank-vertical-and-insulated/</t>
  </si>
  <si>
    <t>500 gallons, 7', 1600LBs</t>
  </si>
  <si>
    <t>Wall Vacuum Panel</t>
  </si>
  <si>
    <t>Energy Storage Water tank</t>
  </si>
  <si>
    <t>Dimensions</t>
  </si>
  <si>
    <t>Height</t>
  </si>
  <si>
    <t>Surface Sq Ft</t>
  </si>
  <si>
    <t>Radius</t>
  </si>
  <si>
    <t>Basement Temp</t>
  </si>
  <si>
    <t>Water Temp</t>
  </si>
  <si>
    <t>Difference Temp</t>
  </si>
  <si>
    <t>R/In</t>
  </si>
  <si>
    <t># of inches, total thickness</t>
  </si>
  <si>
    <t>R rating per layer</t>
  </si>
  <si>
    <t>R rating total (all layers)</t>
  </si>
  <si>
    <t># of layers</t>
  </si>
  <si>
    <t>layers</t>
  </si>
  <si>
    <t># of sq ft, one layer</t>
  </si>
  <si>
    <t>specs</t>
  </si>
  <si>
    <t>cost for insulation</t>
  </si>
  <si>
    <t>https://www.homedepot.com/p/Owens-Corning-R-19-EcoTouch-PINK-Kraft-Faced-Fiberglass-Insulation-Sono-Batt-24-in-x-48-in-10-Bags-M37Q/202568773</t>
  </si>
  <si>
    <t>sales</t>
  </si>
  <si>
    <t>https://images.homedepot-static.com/catalog/pdfImages/56/56bfa2cd-6c15-4f93-8f66-2b935ec5e12a.pdf</t>
  </si>
  <si>
    <t>cost of energy lost per year</t>
  </si>
  <si>
    <t>$/yr</t>
  </si>
  <si>
    <t>energy lost in 1 day</t>
  </si>
  <si>
    <t># of hours/day</t>
  </si>
  <si>
    <t>https://www.owenscorning.com/insulation/products/ecotouch-flame-spread-25</t>
  </si>
  <si>
    <t>ECOTOUCH® FLAME SPREAD 25</t>
  </si>
  <si>
    <t>Fiberglass-Insulation-Sono-Batt (ASTM E136 Non-Combustible Rated)</t>
  </si>
  <si>
    <t>https://dcpd6wotaa0mb.cloudfront.net/mdms/dms/Residential%20Insulation/18142/18142-EcoTouch-Flame-Spread-25-Product-Data-Sheet.pdf?v=1531982898000</t>
  </si>
  <si>
    <t>https://www.homedepot.com/p/Owens-Corning-R-19-EcoTouch-PINK-Flame-Spread-25-Metal-Framed-FSK-Faced-Fiberglass-Insulation-Batts-16-in-x-96-in-10-Bags-F42Q/205469820</t>
  </si>
  <si>
    <t>homedepot</t>
  </si>
  <si>
    <t>$ per sq ft</t>
  </si>
  <si>
    <t>https://www.ontimesupplies.com/solutions/conference-tables-size-guide</t>
  </si>
  <si>
    <t>Conference Room</t>
  </si>
  <si>
    <t>Table sizes</t>
  </si>
  <si>
    <t>http://www.ambiencedore.com/conference-room-planning-guide/</t>
  </si>
  <si>
    <t>Planning Guide</t>
  </si>
  <si>
    <t>http://www.valerialuxuryliving.com/22127/standard-conference-table-dimensions/captivating-standard-conference-table-dimensions-conference-table-dimensions-for-8-google-search-jury-pinterest/</t>
  </si>
  <si>
    <t>Dwg</t>
  </si>
  <si>
    <t>https://www.youtube.com/watch?v=st-Gd1ZcFyM&amp;t=325s</t>
  </si>
  <si>
    <t>video that talks about zero energy definitions</t>
  </si>
  <si>
    <t>zero enegy definitions:</t>
  </si>
  <si>
    <t>https://en.wikipedia.org/wiki/Zero-energy_building#Definitions</t>
  </si>
  <si>
    <t>https://www.energystar.gov/products/building_products/residential_windows_doors_and_skylights/independently_tested_certified_energy_performance</t>
  </si>
  <si>
    <t>https://nfrc.org/label.aspx</t>
  </si>
  <si>
    <t>nfrc, tests windwows</t>
  </si>
  <si>
    <t>us gov info on nfrc</t>
  </si>
  <si>
    <t>http://search.nfrc.org/search/cpd/cpd_search_productline.aspx</t>
  </si>
  <si>
    <t>can get list of all tilt and turn</t>
  </si>
  <si>
    <t>surface area, windows</t>
  </si>
  <si>
    <t>1st floor</t>
  </si>
  <si>
    <t>total floor</t>
  </si>
  <si>
    <t>indoor useable floor space, all floors</t>
  </si>
  <si>
    <t>R rating, windows</t>
  </si>
  <si>
    <t>energy tsfr, windows</t>
  </si>
  <si>
    <t>Doors &amp; Etc</t>
  </si>
  <si>
    <t>http://www.sfu.ca/phys/346/121/lecture_notes/lecture33_heat_loss.pdf</t>
  </si>
  <si>
    <t>good lecture on insulation and heat loss</t>
  </si>
  <si>
    <t>walls energy loss over 1yr</t>
  </si>
  <si>
    <t>kWhr</t>
  </si>
  <si>
    <t>$</t>
  </si>
  <si>
    <t xml:space="preserve">  &gt; $ electricity</t>
  </si>
  <si>
    <t>ze1 w/ 2" XPS on Windows</t>
  </si>
  <si>
    <t>Outdoor temp</t>
  </si>
  <si>
    <t>Room temp</t>
  </si>
  <si>
    <t>Room to Basement difference</t>
  </si>
  <si>
    <t>http://www.massenzarigs.com/water-well-drilling-rigs/</t>
  </si>
  <si>
    <t>in</t>
  </si>
  <si>
    <t>cubic ft</t>
  </si>
  <si>
    <t>cubic yards</t>
  </si>
  <si>
    <t>weight</t>
  </si>
  <si>
    <t>lbs</t>
  </si>
  <si>
    <t>3" x 200ft</t>
  </si>
  <si>
    <t>9" x 200ft</t>
  </si>
  <si>
    <t>well drilling rigs</t>
  </si>
  <si>
    <t>https://pubs.usgs.gov/pp/1366e-j/report.pdf</t>
  </si>
  <si>
    <t>boston bedrock</t>
  </si>
  <si>
    <t>Latitude Vs Tilt</t>
  </si>
  <si>
    <t>Latitude</t>
  </si>
  <si>
    <t>boston</t>
  </si>
  <si>
    <t>los angles</t>
  </si>
  <si>
    <t>https://www.solarpaneltilt.com/</t>
  </si>
  <si>
    <t>Optimum Tilt</t>
  </si>
  <si>
    <t>cos(angle)</t>
  </si>
  <si>
    <t>https://www.mathsisfun.com/sine-cosine-tangent.html</t>
  </si>
  <si>
    <t>length flat</t>
  </si>
  <si>
    <t>length at angle</t>
  </si>
  <si>
    <t>add eff due to tilt</t>
  </si>
  <si>
    <t>add kW due to tilt</t>
  </si>
  <si>
    <t>https://www.youtube.com/watch?v=SE0_CJKADPk</t>
  </si>
  <si>
    <t>video that talks about zero energy definitions, 1hr lecture on ze</t>
  </si>
  <si>
    <t>The Twelve Essential Steps to Net Zero Energy with Ted Clifton (Clifton View Homes)</t>
  </si>
  <si>
    <t>Zero Energy</t>
  </si>
  <si>
    <t xml:space="preserve"> &gt;&gt; this guy is similar to us, gshp to water, to house heat, to storage (uses regular electric water heater as tank to hold water)</t>
  </si>
  <si>
    <t>500 gallon steel tank, $2.5k</t>
  </si>
  <si>
    <t>https://www.jmesales.com/above-ground-tanks-and-pump-vent-kits/?_bc_fsnf=1&amp;Size=500+Gallon</t>
  </si>
  <si>
    <t>Drill Head Components</t>
  </si>
  <si>
    <t>Motors</t>
  </si>
  <si>
    <t>Sensors</t>
  </si>
  <si>
    <t>https://www.edn.com/electronics-products/other/4461849/Accelerometer-packs-temperature-sensor-on-same-die</t>
  </si>
  <si>
    <t>accelerometer and temperature</t>
  </si>
  <si>
    <t>https://www.edn.com/electronics-products/other/4461891/Brushless-motors-sport-integral-drive</t>
  </si>
  <si>
    <t>motors, all-digital drive electronics controls torque, speed, and/or position</t>
  </si>
  <si>
    <t>http://articles.adsabs.harvard.edu//full/1989ESASP.302...95M/0000110.000.html</t>
  </si>
  <si>
    <t>Drilling</t>
  </si>
  <si>
    <t>summary of drilling techniques</t>
  </si>
  <si>
    <t>Water Tank, Horizontal, Surrounded by foam insulation</t>
  </si>
  <si>
    <t>metal tank</t>
  </si>
  <si>
    <t>ft^2</t>
  </si>
  <si>
    <t>foam insulation</t>
  </si>
  <si>
    <t>total cylindar</t>
  </si>
  <si>
    <t>cost cu ft</t>
  </si>
  <si>
    <t>cost per cubic ft</t>
  </si>
  <si>
    <t>cost total</t>
  </si>
  <si>
    <t>https://www.insulfoam.com/wp-content/uploads/2017/08/104-AIA-EPS-XPS_17.pdf</t>
  </si>
  <si>
    <t>Heat Loss</t>
  </si>
  <si>
    <t>R/inch (xps)</t>
  </si>
  <si>
    <t>Pump Energy Into Water Storage (e.g. heat 500gallons by 80F via GSHP)</t>
  </si>
  <si>
    <t>Pull energy out of stored water (radiators in ducts)</t>
  </si>
  <si>
    <t>https://www.sunfolding.com/</t>
  </si>
  <si>
    <t xml:space="preserve">Sunfolding -- big company </t>
  </si>
  <si>
    <t>Heat Pump</t>
  </si>
  <si>
    <t>https://iwae.com/resources/articles/climates-benefit-geothermal-heat-pump.html</t>
  </si>
  <si>
    <t>What Climates Benefit Most From A Geothermal Heat Pump?</t>
  </si>
  <si>
    <t>https://www.inchcalculator.com/calculate-many-btus-needed-heat-home/</t>
  </si>
  <si>
    <t>Climate Zones (e.g. zone 5 is cold)</t>
  </si>
  <si>
    <t>Coefficient of performance (COP) -- how much more work is done relative to direct electricity (e.g. COP of 4 means it would take direct electrical heating element 4x more electricity to do same work)</t>
  </si>
  <si>
    <t>https://en.wikipedia.org/wiki/Heat_pump</t>
  </si>
  <si>
    <t>Heat Pump, Wiki</t>
  </si>
  <si>
    <t>&gt;  EER or SEER to describe performance in cooling mode</t>
  </si>
  <si>
    <t>&gt; COP describes performance in cooling mode (or heating)</t>
  </si>
  <si>
    <t>K</t>
  </si>
  <si>
    <t>Hot</t>
  </si>
  <si>
    <t>Cold</t>
  </si>
  <si>
    <t>C</t>
  </si>
  <si>
    <t>http://www.powerknot.com/2011/03/01/cops-eers-and-seers/</t>
  </si>
  <si>
    <t>Efficiency Math</t>
  </si>
  <si>
    <t>Cooling -- max theoretical efficiency (Carnot’s theorem)</t>
  </si>
  <si>
    <t>Heating -- max theoretical efficiency (Carnot’s theorem)</t>
  </si>
  <si>
    <t>gshp cools water</t>
  </si>
  <si>
    <t>gshp cools space</t>
  </si>
  <si>
    <t>gshp heats space</t>
  </si>
  <si>
    <t>gshp heats water</t>
  </si>
  <si>
    <t>COP-Max</t>
  </si>
  <si>
    <t>as hp heats space</t>
  </si>
  <si>
    <t>as hp heats water</t>
  </si>
  <si>
    <t>as hp cools space</t>
  </si>
  <si>
    <t>COP = EER * 0.29</t>
  </si>
  <si>
    <t>Small buildings with internal STES water tanks</t>
  </si>
  <si>
    <t>https://en.wikipedia.org/wiki/Seasonal_thermal_energy_storage#Small_buildings_with_internal_STES_water_tanks</t>
  </si>
  <si>
    <t>https://en.wikipedia.org/wiki/Hot_water_storage_tank</t>
  </si>
  <si>
    <t>Hot Water Storage Tank</t>
  </si>
  <si>
    <t>Hot Water Storage Tank, wiki</t>
  </si>
  <si>
    <t>http://zero-energyplans.com/wp-content/uploads/BA_ZEH_CliftonViewHome_Leganza_TG-11-14-14-1.pdf</t>
  </si>
  <si>
    <t>http://zero-energyplans.com/wp-content/uploads/BA_ChallengeHome_TCLegendHomes_100113.pdf</t>
  </si>
  <si>
    <t>Ted Clifton, Example Passive Solar home, Seattle, WA</t>
  </si>
  <si>
    <t>Ted Clifton, Example Passive Solar home, Green Bank, W. Va</t>
  </si>
  <si>
    <t>https://www.sciencedirect.com/topics/engineering/solar-space-heating</t>
  </si>
  <si>
    <t>PERFORMANCE OF ACTIVE SOLAR ENERGY SYSTEMS,  JÄGER, 1981</t>
  </si>
  <si>
    <t xml:space="preserve">Width </t>
  </si>
  <si>
    <t xml:space="preserve">weight </t>
  </si>
  <si>
    <t>LBS</t>
  </si>
  <si>
    <t>volume</t>
  </si>
  <si>
    <t>Specific heat capacity</t>
  </si>
  <si>
    <t>concrete</t>
  </si>
  <si>
    <t>water</t>
  </si>
  <si>
    <t>http://www.greenspec.co.uk/building-design/thermal-mass/</t>
  </si>
  <si>
    <t>Thermal Mass</t>
  </si>
  <si>
    <t>House Slab</t>
  </si>
  <si>
    <t>Thermal conductivity (W/m.K)</t>
  </si>
  <si>
    <t>air</t>
  </si>
  <si>
    <t>styrofoam</t>
  </si>
  <si>
    <t>https://en.wikipedia.org/wiki/Thermal_conductivity</t>
  </si>
  <si>
    <t>Thermal Conductivity</t>
  </si>
  <si>
    <t>References</t>
  </si>
  <si>
    <t>https://en.wikipedia.org/wiki/Density</t>
  </si>
  <si>
    <t>Density of materials</t>
  </si>
  <si>
    <t>Density (Kg/m^3)</t>
  </si>
  <si>
    <t>Density (LBs/ft^3)</t>
  </si>
  <si>
    <t>Materials</t>
  </si>
  <si>
    <t>Important Materials</t>
  </si>
  <si>
    <t>wood</t>
  </si>
  <si>
    <t>https://en.wikipedia.org/wiki/Specific_heat_capacity</t>
  </si>
  <si>
    <t>Specific heat capacity (BTU/LBs.C)</t>
  </si>
  <si>
    <t>Specific heat capacity (J/kg*K)</t>
  </si>
  <si>
    <t>Energy to Move Thermal Mass</t>
  </si>
  <si>
    <t>Material</t>
  </si>
  <si>
    <t>Kjoules</t>
  </si>
  <si>
    <t>Block of cement</t>
  </si>
  <si>
    <t>Specifc heat capacity (BTU/LBs.C)</t>
  </si>
  <si>
    <t>house of air</t>
  </si>
  <si>
    <t>cement</t>
  </si>
  <si>
    <t>energy to raise house full of air by 20C</t>
  </si>
  <si>
    <t>energy to raise 500gallons of water by 50C</t>
  </si>
  <si>
    <t>energy to raise 1Kg of Water by 1C</t>
  </si>
  <si>
    <t>energy to raise slab of concrete, 0.5x30x40 ft, by 10C</t>
  </si>
  <si>
    <t>energy to raise block of concrete in wall, 5x8x1' by 10C</t>
  </si>
  <si>
    <t>https://en.wikipedia.org/wiki/Net_metering</t>
  </si>
  <si>
    <t>Net Metering</t>
  </si>
  <si>
    <t>Electricity Policy</t>
  </si>
  <si>
    <t>https://www.eia.gov/outlooks/aeo/pdf/electricity_generation.pdf</t>
  </si>
  <si>
    <t>eia electricity</t>
  </si>
  <si>
    <t>https://www.globalenergyinstitute.org/map-2018-average-electricity-retail-prices</t>
  </si>
  <si>
    <t>https://en.wikipedia.org/wiki/List_of_thermal_conductivities</t>
  </si>
  <si>
    <t>plexiglass</t>
  </si>
  <si>
    <t>Cell Length</t>
  </si>
  <si>
    <t>Wall thickness</t>
  </si>
  <si>
    <t>Ratio Wall/Air</t>
  </si>
  <si>
    <t>Air, thermal conductivity</t>
  </si>
  <si>
    <t>W/m.K</t>
  </si>
  <si>
    <t>Best Ratio due to Wall</t>
  </si>
  <si>
    <t>Polystyrene, expanded styrofoam</t>
  </si>
  <si>
    <t>Bead of Styrofoam</t>
  </si>
  <si>
    <t>Surface area Ratio</t>
  </si>
  <si>
    <t>Ratio Honeycomb/Air, thermal conductivity</t>
  </si>
  <si>
    <t>Ratio Polystyrene/Air, thermal cond</t>
  </si>
  <si>
    <t>Best Thermal Conductivity Relative To Air</t>
  </si>
  <si>
    <t>Surface area of Space to Bead</t>
  </si>
  <si>
    <t xml:space="preserve">&lt;&lt; beating Polystyrene by 21x is best you can do. </t>
  </si>
  <si>
    <t>Paper</t>
  </si>
  <si>
    <t>paper has a range from 0.05 to .2</t>
  </si>
  <si>
    <t>Paper thermal Conductivity</t>
  </si>
  <si>
    <t>Thermal Conductivity Of Air, in Vacuum</t>
  </si>
  <si>
    <t xml:space="preserve"> &gt;&gt; cavity geometry, path of molecule (is there clear path?), is there mylar inbetween -- effects conductivity</t>
  </si>
  <si>
    <t>this says 0.02 thermal conductivity air with 0.01 atm</t>
  </si>
  <si>
    <t xml:space="preserve"> &lt;&lt; CONCLUSION: Better to use bead of Polystyrene (expanded styrofoam) than wall of paper</t>
  </si>
  <si>
    <t>Honeycomb -- what material?</t>
  </si>
  <si>
    <t>Solar Farm</t>
  </si>
  <si>
    <t>https://www.msn.com/en-us/money/generalmoney/what-us-land-is-really-worth-state-by-state/ar-BBkTfZS?ocid=sf</t>
  </si>
  <si>
    <t>Land Cost</t>
  </si>
  <si>
    <t>https://www.landwatch.com/Massachusetts_land_for_sale</t>
  </si>
  <si>
    <t>MA Land</t>
  </si>
  <si>
    <t>cost per acre</t>
  </si>
  <si>
    <t>cost per watt</t>
  </si>
  <si>
    <t>Watts dispated by SMD led device</t>
  </si>
  <si>
    <t>Gauge Wire</t>
  </si>
  <si>
    <t>https://www.picwire.com/technical/tech-papers/wire-gauges/</t>
  </si>
  <si>
    <t>ohms total</t>
  </si>
  <si>
    <t>VDC</t>
  </si>
  <si>
    <t>Wire, Tree Topology</t>
  </si>
  <si>
    <t>One Bulb</t>
  </si>
  <si>
    <t>One LED Smd Device</t>
  </si>
  <si>
    <t># of strings, typical bulb</t>
  </si>
  <si>
    <t>Multiple Bulbs</t>
  </si>
  <si>
    <t># of bulbs hanging on one wire</t>
  </si>
  <si>
    <t># of LED strings on one wire (1 string is 6 Led Smd devices in series)</t>
  </si>
  <si>
    <t xml:space="preserve">  one one wire</t>
  </si>
  <si>
    <t>voltage drop across mosfet</t>
  </si>
  <si>
    <t>Amps into bulb (two strings)</t>
  </si>
  <si>
    <t>energy wasted due to voltage drop across bus wire (18gauge, 75ft, 15bulbs)</t>
  </si>
  <si>
    <t>energy wasted due to voltage drop across mosfet</t>
  </si>
  <si>
    <t>Mosfet Switch</t>
  </si>
  <si>
    <t>12VDC Power For LED Lighting</t>
  </si>
  <si>
    <t>https://www.infineon.com/dgdl/Infineon-xmc1100_AB-DS-v01_08-EN.pdf?fileId=5546d4624a0bf290014a4bdaff9325bd</t>
  </si>
  <si>
    <t>Mosfet (#DMN3023L-7), 0.1 ohms, $0.11/1k qty</t>
  </si>
  <si>
    <t>Socket Cost</t>
  </si>
  <si>
    <t>XMC1100 microprocessor</t>
  </si>
  <si>
    <t>https://www.digikey.com/product-detail/en/diodes-incorporated/DMN3023L-7/DMN3023L-7DIDKR-ND/5453191</t>
  </si>
  <si>
    <t>System</t>
  </si>
  <si>
    <t xml:space="preserve"> * 12VDC is applied to cable (e.g. 1A for 15 bulbs)</t>
  </si>
  <si>
    <t xml:space="preserve"> * 12 LEDS SMD devices per bulb, 6 SMD devices in series to make 1 string, 2 strings per bulb</t>
  </si>
  <si>
    <t xml:space="preserve"> * Each socket has $0.60 processor and $0.10 mosfet switch</t>
  </si>
  <si>
    <t xml:space="preserve"> * Mosfet is used to turn bulb on/off and also can modulate to dim the bulb</t>
  </si>
  <si>
    <t xml:space="preserve"> * Processor sleeps when not in use</t>
  </si>
  <si>
    <t xml:space="preserve"> * 18 Gauge, four wires, route from central location to sockets in tree topology</t>
  </si>
  <si>
    <t xml:space="preserve"> * Two wires are used for power and two wires are used for communication</t>
  </si>
  <si>
    <t xml:space="preserve"> * Communication is RS485-like</t>
  </si>
  <si>
    <t xml:space="preserve">   -- Slow rise time (e.g. 10K bits/sec max) to stop ringing due to no termination</t>
  </si>
  <si>
    <t>https://www.edn.com/design/led/4461990/Teardown--Wi-Fi-LED-light-bulb</t>
  </si>
  <si>
    <t>https://www.edn.com/design/led/4442724/Teardown--What-killed-this-LED-bulb-</t>
  </si>
  <si>
    <t>Teardown, Wifi Bulb</t>
  </si>
  <si>
    <t>Teardown, LED bulb w/ transformer AC to DC power supply</t>
  </si>
  <si>
    <t>Teardown, A19 LED bulb (no transformer)</t>
  </si>
  <si>
    <t>https://www.edn.com/design/test-and-measurement/4459198/Teardown--A19-LED-bulb</t>
  </si>
  <si>
    <t>0-10 V lighting control</t>
  </si>
  <si>
    <t>https://en.wikipedia.org/wiki/0-10_V_lighting_control</t>
  </si>
  <si>
    <t>AMX192</t>
  </si>
  <si>
    <t>https://en.wikipedia.org/wiki/AMX192</t>
  </si>
  <si>
    <t>Lighting Control</t>
  </si>
  <si>
    <t>https://www.edn.com/design/test-and-measurement/4461470/4/R-D-initiative-looks-to-solve-energy-and-climate-problems</t>
  </si>
  <si>
    <t>Weinreb Wallbus, 7wire network</t>
  </si>
  <si>
    <t>https://en.wikipedia.org/wiki/KNX_(standard)</t>
  </si>
  <si>
    <t>KNX</t>
  </si>
  <si>
    <t>Teardown</t>
  </si>
  <si>
    <t>Articles</t>
  </si>
  <si>
    <t>How long do LEDs really last?</t>
  </si>
  <si>
    <t>Teardown: Zigbee-controlled LED light bulb</t>
  </si>
  <si>
    <t>Teardown: What killed this LED bulb?</t>
  </si>
  <si>
    <t>Teardown: A19 LED bulb</t>
  </si>
  <si>
    <t>Teardown: A Wi-Fi smart plug for home automation</t>
  </si>
  <si>
    <t>Will LED-based Wi-Fi work?</t>
  </si>
  <si>
    <t>Connected lighting may be the IoT killer app</t>
  </si>
  <si>
    <t>LED bulbs can bring heat</t>
  </si>
  <si>
    <t>LED bulbs reveal different design approaches</t>
  </si>
  <si>
    <t>Get more operating life from LED-based bulbs</t>
  </si>
  <si>
    <t>That 60W-equivalent LED: What you don’t know, and what no one will tell you</t>
  </si>
  <si>
    <t>The LED: incandescent light bulb heir apparent</t>
  </si>
  <si>
    <t>https://en.wikipedia.org/wiki/DMX512</t>
  </si>
  <si>
    <t>DMX512</t>
  </si>
  <si>
    <t>https://en.wikipedia.org/wiki/Digital_Serial_Interface</t>
  </si>
  <si>
    <t>Digital Serial Interface</t>
  </si>
  <si>
    <t>https://en.wikipedia.org/wiki/Digital_Addressable_Lighting_Interface</t>
  </si>
  <si>
    <t>Digital Addressable Lighting Interface</t>
  </si>
  <si>
    <t>https://en.wikipedia.org/wiki/D54_(protocol)</t>
  </si>
  <si>
    <t>D54</t>
  </si>
  <si>
    <t>https://en.wikipedia.org/wiki/Lighting_control_system</t>
  </si>
  <si>
    <t>https://en.wikipedia.org/wiki/Smart_lighting</t>
  </si>
  <si>
    <t>Smart Lighting</t>
  </si>
  <si>
    <t>Lighting Control System</t>
  </si>
  <si>
    <t>https://datasheet4u.com/datasheet-pdf-file/1283323/JoulWatt/JW1780/1</t>
  </si>
  <si>
    <t>LED Power Supply</t>
  </si>
  <si>
    <t>JoulWatt #JW1780</t>
  </si>
  <si>
    <t>https://commons.wikimedia.org/wiki/File:Ledbulbschematics.png</t>
  </si>
  <si>
    <t xml:space="preserve">Simplified Schematic of a 6-Watt-LED-bulb, reverse-engineered from an opened bulb. A step down switching regulator, based on the 3-terminal integrated circuit JW1782, builds a constant current source </t>
  </si>
  <si>
    <t>from the rectified mains voltage for the 36 series-connected LED-chips, consisting of 12 SMD-housings. The current (60mA) is set by the 5-ohm-resistor</t>
  </si>
  <si>
    <t>https://led-driver.power.com/design-support/reference-designs/design-examples/?title_selective=LYTSwitch-3&amp;field_topology_target_id_selective=All</t>
  </si>
  <si>
    <t>LED Driver Circuits</t>
  </si>
  <si>
    <t>https://makingcircuits.com/blog/1w-4w-6w-10w-12w-led-driver-circuit-smps/</t>
  </si>
  <si>
    <t>ST Micro #VIPer22A</t>
  </si>
  <si>
    <t xml:space="preserve">Fairchild #FL7701 </t>
  </si>
  <si>
    <t>https://www.st.com/resource/en/datasheet/viper22a-e.pdf</t>
  </si>
  <si>
    <t xml:space="preserve"> or</t>
  </si>
  <si>
    <t>https://en.wikipedia.org/wiki/LED_lamp</t>
  </si>
  <si>
    <t>Reference</t>
  </si>
  <si>
    <t>LED Lamp</t>
  </si>
  <si>
    <t>LED Lighting</t>
  </si>
  <si>
    <t>https://en.wikipedia.org/wiki/LED_circuit</t>
  </si>
  <si>
    <t>LED Driver Circuit</t>
  </si>
  <si>
    <t>Multiple String LED Driver With Flexible and High-Performance PWM Dimming Control</t>
  </si>
  <si>
    <t>https://ieeexplore.ieee.org/document/7827094</t>
  </si>
  <si>
    <t>https://www.researchgate.net/figure/Conventional-floating-buck-LED-Driver-with-pulse-width-modulation-PWM-dimming_fig7_306009195</t>
  </si>
  <si>
    <t>pwm dimming</t>
  </si>
  <si>
    <t>Processor</t>
  </si>
  <si>
    <t>XMC1100 processor</t>
  </si>
  <si>
    <t>https://www.infineon.com/dgdl/Infineon-IP_CCU4_XMC-TR-v01_02-EN.pdf?fileId=5546d4624ad04ef9014b0780bb082263</t>
  </si>
  <si>
    <t>CCU40 Timer (PWM)</t>
  </si>
  <si>
    <t>https://www.infineon.com/dgdl/Infineon-Training_Lighting_XMC_in_LED_Lighting_Applications.pdf-TR-v01_00-EN.pdf?fileId=5546d46253f6505701540f6ca00e1ab1</t>
  </si>
  <si>
    <t>https://www.digikey.com/products/en/integrated-circuits-ics/embedded-microcontrollers/685?k=xmc1200&amp;k=&amp;pkeyword=xmc1200&amp;sv=0&amp;pv1989=0&amp;sf=0&amp;FV=ffe002ad&amp;quantity=&amp;ColumnSort=0&amp;page=1&amp;pageSize=25</t>
  </si>
  <si>
    <t>XMC Processors used with Lighting</t>
  </si>
  <si>
    <t>XMC1301-T016F0032</t>
  </si>
  <si>
    <t>https://www.infineon.com/dgdl/Infineon-xmc1300_AB-DS-v01_06-EN.pdf?fileId=5546d4624a0bf290014a4bdb073c25c6</t>
  </si>
  <si>
    <t>32k flash, 16K ram, BCCU (brightness/control unit), CCU (counter/timer), $0.77/3k qty</t>
  </si>
  <si>
    <t>Xmc1200, 4x BCCU (brightness and control unit), $2.00/3k qty</t>
  </si>
  <si>
    <t>voltage drop across one of two wires (wasted energy)</t>
  </si>
  <si>
    <t>voltage drop across VDC and GND wires (2 wires)</t>
  </si>
  <si>
    <t>https://www.engineersedge.com/calculators/torque_calc.htm</t>
  </si>
  <si>
    <t>clamp force calculator</t>
  </si>
  <si>
    <t>https://en.wikipedia.org/wiki/Edison_screw</t>
  </si>
  <si>
    <t>edison screw base</t>
  </si>
  <si>
    <t>https://www.superiorlighting.com/lighting-resources/light-bulb-learning-center/bulb-reference-guide/</t>
  </si>
  <si>
    <t>light bulb reference</t>
  </si>
  <si>
    <t>https://en.wikipedia.org/wiki/Flicker_fusion_threshold</t>
  </si>
  <si>
    <t>modulate at &gt;3KHz to reduce human perceived flicker</t>
  </si>
  <si>
    <t>https://www.ledsupply.com/leds/cree-xlamp-xpe2-white-high-power-led?gclid=CjwKCAjwxrzoBRBBEiwAbtX1n7cUjbYIvX9Mya6BbS_eJl0FLirs9-3NWK9cN6mghSe9xcpbMoeXoxoCfk0QAvD_BwE</t>
  </si>
  <si>
    <t>https://www.ledsupply.com/content/pdf/leds-cree-xpe2_documentation.pdf</t>
  </si>
  <si>
    <t>Cree XLamp XP-E2, LED pcb, each LED smt is 3V/1A (3Watts)</t>
  </si>
  <si>
    <t>https://en.wikipedia.org/wiki/Light-emitting_diode</t>
  </si>
  <si>
    <t>LED</t>
  </si>
  <si>
    <t>https://en.wikipedia.org/wiki/List_of_LED_failure_modes</t>
  </si>
  <si>
    <t>LED Failure modes</t>
  </si>
  <si>
    <t>https://en.wikipedia.org/wiki/LED_lamp#Comparison_of_common_SMD_(surface_mounted)_LED_modules</t>
  </si>
  <si>
    <t>Common LED Smt Devices</t>
  </si>
  <si>
    <t>https://www.edn.com/electronics-blogs/rowe-s-and-columns/4443011/LED-lamp-cycles-on-and-off--why-</t>
  </si>
  <si>
    <t>https://www.digikey.com/en/resources/lighting/lighting-product-selector</t>
  </si>
  <si>
    <t>Digikey Led Devices Selection</t>
  </si>
  <si>
    <t>https://www.bridgelux.com/sites/default/files/resource_media/Bridgelux%20DS90%20Vero%2010%20Gen%207%20Array%20Data%20Sheet%2020181105%20Rev%20N.pdf</t>
  </si>
  <si>
    <t>https://www.digikey.com/product-detail/en/bridgelux/BXEP-30E-163-18A-00-00-0/976-1628-1-ND/6618630</t>
  </si>
  <si>
    <t>https://cdn.samsung.com/led/file/resource/2019/02/2019_Q1_LinearUS_Leaflet_190131.pdf</t>
  </si>
  <si>
    <t>linear lights, commercial, (e.g. 22V, 22W, 1A, 4K lumins)</t>
  </si>
  <si>
    <t># of LEDS in one string</t>
  </si>
  <si>
    <t>total # of LED's</t>
  </si>
  <si>
    <t>Watts dispated by all LED's</t>
  </si>
  <si>
    <t>voltage across all LED's</t>
  </si>
  <si>
    <t>Comparison of common SMD (surface mounted) LED modules</t>
  </si>
  <si>
    <t>https://www.digikey.com/products/en/integrated-circuits-ics/pmic-voltage-regulators-linear/699?k=voltage+regulator&amp;k=&amp;pkeyword=voltage+regulator&amp;sv=0&amp;pv7=1&amp;sf=0&amp;FV=1140003%2C8f40064%2C8f40010%2C8f400aa%2C8f40013%2C8f400db%2C8f40019%2C8f4001a%2C8f4001c%2C8f40034%2C8f40043%2C8f40044%2C8f40051%2C8f40053%2C1bcc0032%2Cffe002bb%2C204016f%2C204003a%2C204004b%2C204004d%2C204005a%2C204005f%2C2040063&amp;quantity=&amp;ColumnSort=1000011&amp;page=1&amp;stock=1&amp;pageSize=25</t>
  </si>
  <si>
    <t>3.3V Regulator</t>
  </si>
  <si>
    <t>https://www.digikey.com/product-detail/en/diodes-incorporated/AP7384-33Y-13/AP7384-33Y-13DITR-ND/9765678</t>
  </si>
  <si>
    <t>Diodes Inc #AP7384-33Y, 50mA, 40Vin, 3.3V out, $0.12, SOT89</t>
  </si>
  <si>
    <t>https://www.how-to-wire-it.com/wiring-a-2-way-switch.html</t>
  </si>
  <si>
    <t>how to wire 2 way switch</t>
  </si>
  <si>
    <t>How to Wire and Install Single-Pole Switches</t>
  </si>
  <si>
    <t>Example bulb: 13W, 750Lumens, 145mA @ 110VAC (1.3A @ 12V), 750/13=60</t>
  </si>
  <si>
    <t>Wiring Examples</t>
  </si>
  <si>
    <t>Typical Products</t>
  </si>
  <si>
    <t>COB (chips on board), Bridgelux, array of 10x LEDs (10W, 10x LEDs, 25V, 350mA, 1200 lumins)</t>
  </si>
  <si>
    <t>High Power LED (5050 series, 0.2" x 0.2", 18V * 0.16mA = 3Watts, 120lm/Watt, 349lm)</t>
  </si>
  <si>
    <t>http://www.bridgelux.com/sites/default/files/resource_media/DS62_Rev%20B%20SMD%205050%203W%2018V%20Data%20sheet.pdf</t>
  </si>
  <si>
    <t>or</t>
  </si>
  <si>
    <t>LED Selection</t>
  </si>
  <si>
    <t>Dimming</t>
  </si>
  <si>
    <t>total current (Amps) one wire</t>
  </si>
  <si>
    <t>https://www.digikey.com/product-detail/en/tdk-lambda-americas-inc/DRL100-24-1/285-2649-ND/6561048</t>
  </si>
  <si>
    <t xml:space="preserve">100W, 24V, 4A, 90% efficiency, 2x3x4", </t>
  </si>
  <si>
    <t>https://greatercea.org/lightbulb-efficiency-comparison-chart/</t>
  </si>
  <si>
    <t>Lamp Comparison</t>
  </si>
  <si>
    <t>Lightbulb Efficiency Comparison Chart, Meyer, 2015</t>
  </si>
  <si>
    <t>https://digitalcommons.calpoly.edu/cgi/viewcontent.cgi?article=1385&amp;context=eesp</t>
  </si>
  <si>
    <t>Comparison of AC and DC LED Light Bulb Efficiency for the DC House Project, Brandon Stafford</t>
  </si>
  <si>
    <t>https://web.calpoly.edu/~taufik/design.html</t>
  </si>
  <si>
    <t>Taufik</t>
  </si>
  <si>
    <t>Taufik Senior projects</t>
  </si>
  <si>
    <t>https://digitalcommons.calpoly.edu/cgi/viewcontent.cgi?referer=https://www.google.com/&amp;httpsredir=1&amp;article=1424&amp;context=eesp</t>
  </si>
  <si>
    <t>DC House Energy Management System</t>
  </si>
  <si>
    <t>https://www.cui.com/product/resource/vsk-s5-t.pdf</t>
  </si>
  <si>
    <t>https://belfuse.com/resources/datasheets/powersolutions/ds-bps-linear-series.pdf</t>
  </si>
  <si>
    <t>linear power supply, 55% efficiency</t>
  </si>
  <si>
    <t>example power supply, 80% efficient at 40% output power, 70% eff at 20% power</t>
  </si>
  <si>
    <t>https://www.pulspower.com/fileadmin/Dateien/pdf/qs20e241.pdf</t>
  </si>
  <si>
    <t>efficiency of 87% with 20% power, 480W, $400</t>
  </si>
  <si>
    <t>research paper, fig 5-5, shows efficiency vs output</t>
  </si>
  <si>
    <t>https://ieeexplore.ieee.org/stamp/stamp.jsp?arnumber=6970278</t>
  </si>
  <si>
    <t>The DC House Project: An Alternate Solution for Rural Electrification, Taufik, 2014</t>
  </si>
  <si>
    <t>https://digitalcommons.calpoly.edu/cgi/viewcontent.cgi?referer=https://www.google.com/&amp;httpsredir=1&amp;article=1402&amp;context=eesp</t>
  </si>
  <si>
    <t>https://www.digikey.com/products/en/integrated-circuits-ics/pmic-voltage-regulators-linear/699?FV=1bcc0032%2C1bcc02a1%2Cffe002bb%2C8f40064%2C8f40088%2C8f40093%2C8f40010%2C8f400b1%2C8f400db&amp;quantity=0&amp;ColumnSort=1000011&amp;page=1&amp;pageSize=25</t>
  </si>
  <si>
    <t>Digikey, list of voltage regulators,~100mA, &gt;=24V input, 3.3V otuput</t>
  </si>
  <si>
    <t>Digikey, list of voltage regulators, &gt;=50V input, 3.3V otuput</t>
  </si>
  <si>
    <t>https://www.digikey.com/product-detail/en/on-semiconductor/NCP785AH33T1G/NCP785AH33T1GOSTR-ND/5222198</t>
  </si>
  <si>
    <t>24V to 450Vin, 3.3Vout, 10mA, $0.35</t>
  </si>
  <si>
    <t>https://www.digikey.com/product-detail/en/richtek-usa-inc/RT9068-33GSP/1028-1315-2-ND/4733344</t>
  </si>
  <si>
    <t>3.4V to 60Vin, 3.3Vout, 50mA, $0.35</t>
  </si>
  <si>
    <t>https://www.analog.com/en/products/lt3795.html</t>
  </si>
  <si>
    <t>Lt3795, LED Driver, $3.50</t>
  </si>
  <si>
    <t>https://digitalcommons.calpoly.edu/cgi/viewcontent.cgi?article=1463&amp;context=eesp</t>
  </si>
  <si>
    <t>Design and Test of Wide Input and Output Constant Current LED Driver, Lt3795</t>
  </si>
  <si>
    <t>Lumencache</t>
  </si>
  <si>
    <t>Building Lighting system w/ data and power to nodes in lights, central controller</t>
  </si>
  <si>
    <t>http://lumencache.lighting/why-lumencache/</t>
  </si>
  <si>
    <t xml:space="preserve"> &gt; 18V to 19.7V doubles current and doubles lumins.  160mA relates to 17V to 20V.  180mVf change with 20C change.</t>
  </si>
  <si>
    <t>Samsung Light Strips (commercial), 4000lumins, drivers</t>
  </si>
  <si>
    <t># of Nodes</t>
  </si>
  <si>
    <t>Power Demand</t>
  </si>
  <si>
    <t>Amps Total</t>
  </si>
  <si>
    <t>Watts/Node, avg</t>
  </si>
  <si>
    <t>Amps/Node, avg</t>
  </si>
  <si>
    <t>Watts Total</t>
  </si>
  <si>
    <t>ohms/meter</t>
  </si>
  <si>
    <t>https://www.ecmweb.com/low-voltagecommunications/low-voltage-pathways-can-be-challenge</t>
  </si>
  <si>
    <t>low-voltage pathways</t>
  </si>
  <si>
    <t>Voltage Drop (2 wires)</t>
  </si>
  <si>
    <t>Power wasted from V drop</t>
  </si>
  <si>
    <t>Power wasted, % of total</t>
  </si>
  <si>
    <t>https://www.ecmweb.com/code-basics/classifying-and-using-class-1-2-and-3-circuits</t>
  </si>
  <si>
    <t>Class 1, 2 and 3</t>
  </si>
  <si>
    <t>https://www.ecmweb.com/content/understanding-nec-circuit-classifications</t>
  </si>
  <si>
    <t xml:space="preserve"> &gt; more details</t>
  </si>
  <si>
    <t>https://www.ecmweb.com/content/code-rules-low-voltage-lighting</t>
  </si>
  <si>
    <t>https://iaeimagazine.org/magazine/2004/11/16/low-voltage-lighting-systems-operating-at-30-volts-or-less/</t>
  </si>
  <si>
    <t>Low Voltage Lighting, NEC, Article #411, CANNOT PENETRATE A WALL</t>
  </si>
  <si>
    <t>National Elect. Code</t>
  </si>
  <si>
    <t>XMC1301</t>
  </si>
  <si>
    <t>Xmc1301 datasheet</t>
  </si>
  <si>
    <t>https://www.infineon.com/cms/en/product/microcontroller/32-bit-industrial-microcontroller-based-on-arm-cortex-m/32-bit-xmc1000-industrial-microcontroller-arm-cortex-m0/xmc1301-q040f0008-ab/</t>
  </si>
  <si>
    <t>https://www.infineon.com/dgdl/Infineon-xmc1300_AB-DS-v02_00-EN.pdf?fileId=5546d4624a0bf290014a4bdb073c25c6</t>
  </si>
  <si>
    <t>https://www.diodeled.com/low-voltage-safety-understanding-class-2-compliance/</t>
  </si>
  <si>
    <t>UNDERSTANDING CLASS 2 COMPLIANCE, by Diode LED company</t>
  </si>
  <si>
    <t>https://escventura.com/manuals/sola_introNECclass2_rg.pdf</t>
  </si>
  <si>
    <t>Class 2 Table</t>
  </si>
  <si>
    <t>Article 411 (Lighting Systems Operating at 30 Volts or Less and Lighting Equipment Connected to Class-2 Power Sources)</t>
  </si>
  <si>
    <t>https://www.diodeled.com/press-releases/diode-led-now-offers-first-fully-submersible-ul-listed-led-strip-light/</t>
  </si>
  <si>
    <t>KWhr</t>
  </si>
  <si>
    <t>Adaptive Light Dimmer for a Smart House, 48VDC to dimmer driver, Lt3795</t>
  </si>
  <si>
    <t>https://people.eecs.berkeley.edu/~boser/courses/49/lectures/L16%20H-Bridge.pdf</t>
  </si>
  <si>
    <t>Motor Control</t>
  </si>
  <si>
    <t>LED Lighting Power Supply Products</t>
  </si>
  <si>
    <t>https://q-tran.com/product-category/led-power-supplies/</t>
  </si>
  <si>
    <t>This book has much info on LED driver circuits: "Fundamentals of Solid-State Lighting" by Khanna, Vinod Kumar (see gsw bookshelf)</t>
  </si>
  <si>
    <t>https://www.infineon.com/dgdl/Infineon-AP201609_Driving_LEDs_with_XMC1000-AN-v01_00-EN.pdf?fileId=5546d462580663ef01581a09fde446bd</t>
  </si>
  <si>
    <t>Xmc1300 Driving LED's and Dimming</t>
  </si>
  <si>
    <t>drywall</t>
  </si>
  <si>
    <t>https://www.engineering.com/Blogs/tabid/3207/ArticleID/152/Thermal-Conductivity.aspx</t>
  </si>
  <si>
    <t>drywall (Gypsum or plaster board)</t>
  </si>
  <si>
    <t>https://theengineeringmindset.com/specific-heat-capacity-of-materials/</t>
  </si>
  <si>
    <t>Room Size</t>
  </si>
  <si>
    <t>Heating Up a Room</t>
  </si>
  <si>
    <t>Wall Surface Area</t>
  </si>
  <si>
    <t>Wall + Ceiling + Floor</t>
  </si>
  <si>
    <t>Air Volume</t>
  </si>
  <si>
    <t>Floor Surface Area</t>
  </si>
  <si>
    <t>2.25 LBs per Sq Ft of Drywall, 0.625" thick</t>
  </si>
  <si>
    <t>Weight Drywall walls</t>
  </si>
  <si>
    <t>Weight of Air</t>
  </si>
  <si>
    <t>energy to raise temperature of air in room by 10C (12x25ft)</t>
  </si>
  <si>
    <t>elecricity cost per state</t>
  </si>
  <si>
    <t>https://www.builditsolar.com/Projects/SpaceHeating/Components.htm#Storage</t>
  </si>
  <si>
    <t>5000 gallons DIY, Alan Rushforth</t>
  </si>
  <si>
    <t>MIT Solar Houses</t>
  </si>
  <si>
    <t>http://web.mit.edu/solardecathlon/solar6.html</t>
  </si>
  <si>
    <t>https://www.ecohome.net/guides/2208/thermal-batteries-all-about-storing-solar-heat/</t>
  </si>
  <si>
    <t>THERMAL BATTERIES: HOW TO PASSIVELY STORE HEAT</t>
  </si>
  <si>
    <t>https://en.wikipedia.org/wiki/Thermal_energy_storage</t>
  </si>
  <si>
    <t>Thermal Energy Storage, Wiki</t>
  </si>
  <si>
    <t>https://en.wikipedia.org/wiki/Storage_heater</t>
  </si>
  <si>
    <t>Storage heater (e.g. radiator w/ clay bricks)</t>
  </si>
  <si>
    <t>Thermal Battery (storing heat in a liquid or solid)</t>
  </si>
  <si>
    <t>drywall 4x8x.625</t>
  </si>
  <si>
    <t>energy to raise temperature of room drywall by 10C (12x25ft room)</t>
  </si>
  <si>
    <t>https://en.wikipedia.org/wiki/Building-integrated_photovoltaics</t>
  </si>
  <si>
    <t>Large Panel</t>
  </si>
  <si>
    <t>8x35ft</t>
  </si>
  <si>
    <t>total surface area</t>
  </si>
  <si>
    <t xml:space="preserve">    </t>
  </si>
  <si>
    <t>watts, total</t>
  </si>
  <si>
    <t>3x30ft</t>
  </si>
  <si>
    <t>https://en.wikipedia.org/wiki/National_Renewable_Energy_Laboratory</t>
  </si>
  <si>
    <t>National Renewable Energy Laboratory (NREL)</t>
  </si>
  <si>
    <t>Building-Integrated Photovoltaics, wiki</t>
  </si>
  <si>
    <t>Building-Integrated Photovoltaics (BIPV) in the Residential Sector: An Analysis of Installed Rooftop System Prices, 2011</t>
  </si>
  <si>
    <t>https://www.nrel.gov/docs/fy12osti/53103.pdf</t>
  </si>
  <si>
    <t>Building-Integrated Photovoltaics (BIPV) in the Residential Section: An Analysis of Installed Rooftop Prices</t>
  </si>
  <si>
    <t>https://www.nrel.gov/docs/fy12osti/55027.pdf</t>
  </si>
  <si>
    <t>https://www.nrel.gov/analysis/staff.html</t>
  </si>
  <si>
    <t>NREL, wiki</t>
  </si>
  <si>
    <t>NREL, staff</t>
  </si>
  <si>
    <t>https://www.linkedin.com/in/tedljames/</t>
  </si>
  <si>
    <t>Ted James, Writer of BIPV reports</t>
  </si>
  <si>
    <t>https://www.youtube.com/watch?v=43dT66mhh0c</t>
  </si>
  <si>
    <t>https://www.youtube.com/watch?v=XriDpR14C-k</t>
  </si>
  <si>
    <t>building video</t>
  </si>
  <si>
    <t>video w/ top people</t>
  </si>
  <si>
    <t>nrel cost of shingles</t>
  </si>
  <si>
    <t>https://www.homeadvisor.com/cost/roofing/install-a-roof/</t>
  </si>
  <si>
    <t>Cost of Shingles (100 square feet = 1 "square")</t>
  </si>
  <si>
    <t>https://www.nrel.gov/analysis/publications.html</t>
  </si>
  <si>
    <t>NREL, publications</t>
  </si>
  <si>
    <t>https://www.nrel.gov/pv/</t>
  </si>
  <si>
    <t xml:space="preserve">National Center for Photovoltaics (NCPV) </t>
  </si>
  <si>
    <t>https://www.nrel.gov/about/bill-tumas.html</t>
  </si>
  <si>
    <t>Director of NCPV</t>
  </si>
  <si>
    <t>https://www.energy.gov/articles/department-energy-announces-130-million-early-stage-solar-research-project</t>
  </si>
  <si>
    <t>DOE announced up to $130 million for new research</t>
  </si>
  <si>
    <t>Manufacturers of Solar Panels</t>
  </si>
  <si>
    <t>SunPower</t>
  </si>
  <si>
    <t>https://us.sunpower.com/products/solar-panels</t>
  </si>
  <si>
    <t>https://www.energy.gov/eere/solar/funding-opportunity-announcement-solar-energy-technologies-office-fiscal-year-2019</t>
  </si>
  <si>
    <t>Solar Federal Grants</t>
  </si>
  <si>
    <t>12x25 room of air</t>
  </si>
  <si>
    <t>Wall + Ceiling</t>
  </si>
  <si>
    <t>Cost Per Sq Foot</t>
  </si>
  <si>
    <t>Cost of PIR, 1" Thick</t>
  </si>
  <si>
    <t>Solar Energy Technologies Office Fiscal Year 2019 Funding Program</t>
  </si>
  <si>
    <t>https://www.energy.gov/eere/solar/solar-projects-map</t>
  </si>
  <si>
    <t>List of Funded Projects</t>
  </si>
  <si>
    <t>https://eere-exchange.energy.gov/Default.aspx</t>
  </si>
  <si>
    <t>Requests for Proposals</t>
  </si>
  <si>
    <t>https://www.energy.gov/eere/solar/contact-us</t>
  </si>
  <si>
    <t>Solar Energy Technologies Office -- Contact Us</t>
  </si>
  <si>
    <t>https://www.energy.gov/eere/buildings/contact-building-technologies-office</t>
  </si>
  <si>
    <t>https://www.energy.gov/eere/amo/amo-contacts</t>
  </si>
  <si>
    <t xml:space="preserve"> &gt; Buildings -- Contact Us</t>
  </si>
  <si>
    <t xml:space="preserve"> &gt; Advanced Manufacturing -- Contact Us</t>
  </si>
  <si>
    <t>Microinverter</t>
  </si>
  <si>
    <t>https://www.umasolar.com/wp-content/uploads/2018/10/M215_Installation_Manual_NA.pdf</t>
  </si>
  <si>
    <t>M215 Microinverter Installation and Operation manual</t>
  </si>
  <si>
    <t xml:space="preserve">Marsrock IP65 Waterproof 600W Micro Solar </t>
  </si>
  <si>
    <t>https://marsrock.en.alibaba.com/product/1949287232-811636827/New_design_Waterproof_IP67_260W_22_50VDC_grid_tie_micro_inverter_with_communication_function_working_for_200_300W_PV_module.html</t>
  </si>
  <si>
    <t>https://www.energy.gov/eere/about-us/leadership</t>
  </si>
  <si>
    <t>https://www.energy.gov/eere/downloads/office-energy-efficiency-and-renewable-energy-organization-chart</t>
  </si>
  <si>
    <t xml:space="preserve"> &gt; org chart</t>
  </si>
  <si>
    <t>Energy Efficiency and Renewable Energy (EERE), Management</t>
  </si>
  <si>
    <t>Cable Capacitance</t>
  </si>
  <si>
    <t>http://www.assmann-wsw.com/fileadmin/datasheets/ASS_7306_CA.pdf</t>
  </si>
  <si>
    <t>pull up resistor</t>
  </si>
  <si>
    <t>pF per ft</t>
  </si>
  <si>
    <t xml:space="preserve">pF </t>
  </si>
  <si>
    <t>cap, cable per ft</t>
  </si>
  <si>
    <t>cap, cable, total</t>
  </si>
  <si>
    <t>cap per node</t>
  </si>
  <si>
    <t># of nodes</t>
  </si>
  <si>
    <t>cap, all nodes</t>
  </si>
  <si>
    <t>cap, total</t>
  </si>
  <si>
    <t>rise time, time const</t>
  </si>
  <si>
    <t>uSe</t>
  </si>
  <si>
    <t>Mass Carbon Emissions</t>
  </si>
  <si>
    <t>https://www.wbur.org/news/2019/01/04/massachusetts-emissions-2016-transportation</t>
  </si>
  <si>
    <t>million tons, MMTCO2e</t>
  </si>
  <si>
    <t>CO2 Emissions</t>
  </si>
  <si>
    <t>https://en.wikipedia.org/wiki/List_of_countries_by_carbon_dioxide_emissions</t>
  </si>
  <si>
    <t>https://en.wikipedia.org/wiki/List_of_U.S._states_and_territories_by_carbon_dioxide_emissions</t>
  </si>
  <si>
    <t>World CO2 Emissions, millions of metric tons</t>
  </si>
  <si>
    <t>Massachusetts State Emissions, millions of metric tons</t>
  </si>
  <si>
    <t>Bendable Solar Panels</t>
  </si>
  <si>
    <t>Bendable Monocrystaline</t>
  </si>
  <si>
    <t>https://www.amazon.com/dp/B07HK1W7V2/ref=sspa_dk_detail_5?psc=1&amp;pd_rd_i=B07HK1W7V2&amp;spLa=ZW5jcnlwdGVkUXVhbGlmaWVyPUExRUpJUkNRNFRLSk82JmVuY3J5cHRlZElkPUEwNTgyNzI1M05ZNENaUEM5Skc5UiZlbmNyeXB0ZWRBZElkPUEwMzMxMTQ4MkFJRlRBUFhaRzdYMCZ3aWRnZXROYW1lPXNwX2RldGFpbCZhY3Rpb249Y2xpY2tSZWRpcmVjdCZkb05vdExvZ0NsaWNrPXRydWU=</t>
  </si>
  <si>
    <t>Watts/SqFt</t>
  </si>
  <si>
    <t>Sea Level Rise Viewer</t>
  </si>
  <si>
    <t>Noaa's Digital Coast</t>
  </si>
  <si>
    <t>https://oceanservice.noaa.gov/facts/sealevel.html</t>
  </si>
  <si>
    <t>NOAA: Is sea level rising?</t>
  </si>
  <si>
    <t>https://coast.noaa.gov/data/digitalcoast/pdf/slr-slc-tech.pdf</t>
  </si>
  <si>
    <t>NOAA: Technical Considerations for Use of Geospatial Data in Sea Level Change Mapping and Assessment</t>
  </si>
  <si>
    <t>https://en.wikipedia.org/wiki/National_Geophysical_Data_Center</t>
  </si>
  <si>
    <t>National Geophysical Data Center</t>
  </si>
  <si>
    <t>https://www.ngs.noaa.gov/INFO/OnePagers/NSRSOnePager.pdf</t>
  </si>
  <si>
    <t>NOAA Manages the National Spatial Reference System, 1 page summary</t>
  </si>
  <si>
    <t>https://www.sciencedirect.com/topics/earth-and-planetary-sciences/satellite-altimetry</t>
  </si>
  <si>
    <t>Ocean monitoring</t>
  </si>
  <si>
    <t xml:space="preserve"> &gt; Page 34, 50 talks about ways of measuring altitude. See page 100 for Sea Level Change (SLC)</t>
  </si>
  <si>
    <t>https://www.edn.com/design/test-and-measurement/4462064/Measure-humidity-with-an-RH-bridge-and-digitally-programmable-capacitor</t>
  </si>
  <si>
    <t>Measure humidity with an RH bridge and digitally-programmable capacitor</t>
  </si>
  <si>
    <t>Humidity</t>
  </si>
  <si>
    <t>https://www.edn.com/electronics-blogs/dev-monkey-blog/4409084/How-do-you-measure-humidity-</t>
  </si>
  <si>
    <t>How do you measure humidity?</t>
  </si>
  <si>
    <t>https://coast.noaa.gov/data/digitalcoast/pdf/slr-faq.pdf</t>
  </si>
  <si>
    <t>Sea Level Viewer, FAQ</t>
  </si>
  <si>
    <t>GLOBAL AND REGIONAL SEA LEVEL RISE SCENARIOS FOR THE UNITED STATES</t>
  </si>
  <si>
    <t>https://tidesandcurrents.noaa.gov/publications/techrpt83_Global_and_Regional_SLR_Scenarios_for_the_US_final.pdf</t>
  </si>
  <si>
    <t>https://nca2014.globalchange.gov/report/our-changing-climate/sea-level-rise#intro-section-2</t>
  </si>
  <si>
    <t>https://coast.noaa.gov/data/digitalcoast/pdf/slr-new-mapping-tool.pdf</t>
  </si>
  <si>
    <t>New Mapping Tool and Techniques, For Visualizing Sea Level Rise, And Coastal Flooding Impacts, version 3.0</t>
  </si>
  <si>
    <t>Sea level rise website</t>
  </si>
  <si>
    <t>Corrugated Steel and Ribbed Metal Roof</t>
  </si>
  <si>
    <t>http://www.abcmetalroofing.com/Products/Panel-Profiles/Imperial-Rib-/</t>
  </si>
  <si>
    <t>Supplier of Ribbed Steel Roof</t>
  </si>
  <si>
    <t>Electricity Cost/KWH</t>
  </si>
  <si>
    <t>$/kWh</t>
  </si>
  <si>
    <t>https://www.schematics.com/project/10ma-multiple-output-off-line-power-supply-21910/</t>
  </si>
  <si>
    <t>Datasheet:</t>
  </si>
  <si>
    <t>Student Project:</t>
  </si>
  <si>
    <t>Compare with Zenar:</t>
  </si>
  <si>
    <t>https://www.rs-online.com/designspark/benefits-of-very-high-input-voltage-linear-regulators</t>
  </si>
  <si>
    <t>https://electronics.stackexchange.com/questions/263988/connecting-the-linear-regulator-directly-to-ac-line</t>
  </si>
  <si>
    <t>Ncp785, 450Vin, 3.3V/5V/12V/15Vdc output, 10mA, $0.35/2k (10mA dropped 100V across internal FET is 1Watt, 2mA dropped 100V is 200mW)</t>
  </si>
  <si>
    <t>https://www.power.com/sites/default/files/product-docs/lnk302_304-306.pdf</t>
  </si>
  <si>
    <t>Voltages at Each pin of 110VAC outlet</t>
  </si>
  <si>
    <t>https://www.quora.com/How-do-you-measure-the-voltage-of-an-electrical-outlet</t>
  </si>
  <si>
    <t>LNK302, $.42/2k, buck converter IC, 220VAC input, requires handful of external parts</t>
  </si>
  <si>
    <t>https://forum.mysensors.org/topic/687/230v-power-supply-to-arduino/6</t>
  </si>
  <si>
    <t>VAC</t>
  </si>
  <si>
    <t>input</t>
  </si>
  <si>
    <t>V</t>
  </si>
  <si>
    <t>maximum voltage along sinewave corresponding to this duration</t>
  </si>
  <si>
    <t>mA</t>
  </si>
  <si>
    <t>maximum load on power supply</t>
  </si>
  <si>
    <t>V = I*t/C,     C = I*t/V</t>
  </si>
  <si>
    <t>uF</t>
  </si>
  <si>
    <t>capacitor that supports this drop</t>
  </si>
  <si>
    <t>processor current when it sleeps</t>
  </si>
  <si>
    <t>Analysis</t>
  </si>
  <si>
    <t>Notes</t>
  </si>
  <si>
    <t>Parts</t>
  </si>
  <si>
    <t>Devices</t>
  </si>
  <si>
    <t>10W bulb (on/off/dimmer)</t>
  </si>
  <si>
    <t>Processor Circuit</t>
  </si>
  <si>
    <t>3.3V or 5V, 10mA</t>
  </si>
  <si>
    <t>24VDC or 48VDC or 110/220VAC</t>
  </si>
  <si>
    <t>2 High Power Wires</t>
  </si>
  <si>
    <t>Temperature Sensor</t>
  </si>
  <si>
    <t>Current Measurement @ Outlet</t>
  </si>
  <si>
    <t>Fan on/off triac</t>
  </si>
  <si>
    <t>Fan, variable speed</t>
  </si>
  <si>
    <t xml:space="preserve"> &gt; duct damper, window cover, open/close window/door</t>
  </si>
  <si>
    <t>Stepper motor controller</t>
  </si>
  <si>
    <t>n/a</t>
  </si>
  <si>
    <t>AWG</t>
  </si>
  <si>
    <t>Sizes</t>
  </si>
  <si>
    <t>—</t>
  </si>
  <si>
    <t>Dia (in)</t>
  </si>
  <si>
    <t>Dia (mm)</t>
  </si>
  <si>
    <t>Area (in^2)</t>
  </si>
  <si>
    <t>Area (mm^2)</t>
  </si>
  <si>
    <t>mΩ/m</t>
  </si>
  <si>
    <t>mΩ/ft</t>
  </si>
  <si>
    <t>Amps (75C)</t>
  </si>
  <si>
    <t>thickness (in)</t>
  </si>
  <si>
    <t>Width (in)</t>
  </si>
  <si>
    <t>USA Avg = $0.15</t>
  </si>
  <si>
    <t>cost/yr for electricty by sleeping processor</t>
  </si>
  <si>
    <t>time that capacitor is being charged (1/30th of the time during 8mSec first half of sine)</t>
  </si>
  <si>
    <t>time that capacitor is being drained (28/30th of the time during 8mSec first half of sine)</t>
  </si>
  <si>
    <t>Run linear power supply 1/15th the time  via custom ic (bridge rectifier to transistor that turns on when input is &lt; 16V) that charges 10uF/50V cap, this drives $0.10 sot23 vReg ic</t>
  </si>
  <si>
    <t>voltage regulator headroom</t>
  </si>
  <si>
    <t>minimum voltage into voltage regulator IC</t>
  </si>
  <si>
    <t>average voltage at intermediate capacitor</t>
  </si>
  <si>
    <t>https://www.youtube.com/watch?v=agfCknanLjY</t>
  </si>
  <si>
    <t>https://www.digikey.com/reference-designs/en/ac-dc-and-dc-dc-conversion/ac-dc-smps-single-output</t>
  </si>
  <si>
    <t>Digikey Design Reference Library</t>
  </si>
  <si>
    <t>https://www.digikey.com/reference-designs/en/ac-dc-and-dc-dc-conversion/ac-dc-smps-single-output?filter=6|739587+6|729421+6|738400+6|729393+6|751073+6|735317+6|73+6|732400+6|730855+6|732420</t>
  </si>
  <si>
    <t>https://www.digikey.com/reference-designs/en/ac-dc-and-dc-dc-conversion/ac-dc-smps-single-output/397</t>
  </si>
  <si>
    <t>9mA power supply, 2% efficient</t>
  </si>
  <si>
    <t>Explaination of Buck Converter Design</t>
  </si>
  <si>
    <t>http://www.ti.com/lit/ug/tidu850b/tidu850b.pdf</t>
  </si>
  <si>
    <t>http://www.ti.com/power-management/non-isolated-dc-dc-switching-regulators/overview.html</t>
  </si>
  <si>
    <t>Buck Converters, TI.com</t>
  </si>
  <si>
    <t>http://www.ti.com/tool/PMP5412?keyMatch=ac%20to%20dc&amp;tisearch=Search-EN-Everything</t>
  </si>
  <si>
    <t>110VAC to 5V/0.75Amps, small power supply</t>
  </si>
  <si>
    <t>https://datasheets.maximintegrated.com/en/ds/MAXM17552.pdf</t>
  </si>
  <si>
    <t>https://www.monolithicpower.com/pub/media/document/MP2456_r1.01.pdf</t>
  </si>
  <si>
    <t>http://www.ti.com/lit/ds/symlink/tps54062.pdf</t>
  </si>
  <si>
    <t>60VDC step down ic, ref design says 12% efficient @ 1mA output, $0.89 for IC, total power supply might be $1.50, bulky</t>
  </si>
  <si>
    <t>https://www.digikey.com/en/product-highlight/t/texas-instruments/webench-design-center</t>
  </si>
  <si>
    <t>TI Power Supply Design Software</t>
  </si>
  <si>
    <t>http://www.ti.com/power-management/linear-regulators-ldo/products.html#p238min=0;56&amp;p238max=56;112</t>
  </si>
  <si>
    <t>vDrop</t>
  </si>
  <si>
    <t>TI's LDO's with 56Vinput, $.56</t>
  </si>
  <si>
    <t>Discussion of Small Power Supplies (e.g. SR036, 110VAC to 3V, 50mA, 1W quiessent unload)</t>
  </si>
  <si>
    <t>Cap Heat:</t>
  </si>
  <si>
    <t>TI Power Supply Designer</t>
  </si>
  <si>
    <t>https://www.diodes.com/assets/Datasheets/ZXTR2005Z.pdf</t>
  </si>
  <si>
    <t>$.18, Linear Regulator, 0.5mA/48V/48mW quiesent power</t>
  </si>
  <si>
    <t>https://www.ablic.com/en/doc/datasheet/automotive_voltage_regulator/S1142A_BxxH_E.pdf</t>
  </si>
  <si>
    <t>$.56, Linear Regulator, 0.01mA/48V/0.5mW Tiny quiesent power</t>
  </si>
  <si>
    <t>More efficient, $1.50 in parts, More volume</t>
  </si>
  <si>
    <t>https://webench.ti.com/power-designer/switching-regulator/select?O1I=0.01&amp;O1V=3.3&amp;VinMax=60&amp;VinMin=14&amp;fromdisty=digikey&amp;lang_chosen=en_US&amp;op_TA=30&amp;refpage=https:%2F%2Fwww.digikey.com%2Fen%2Fproduct-highlight%2Ft%2Ftexas-instruments%2Fwebench-design-center</t>
  </si>
  <si>
    <t>Ti Webdesign shows schematics, set efficiency to &gt;20% to see switchers</t>
  </si>
  <si>
    <t xml:space="preserve"> &gt; same as above, yet only shows switchers</t>
  </si>
  <si>
    <t xml:space="preserve"> &gt; $1.71 bom, 47% efficient, 14 parts</t>
  </si>
  <si>
    <t>Buck Converter</t>
  </si>
  <si>
    <t>A) Buck Converter -- Disadvantages: 15 parts, $2, quiesent power;    Advantages: good efficiency</t>
  </si>
  <si>
    <t>B) Drop 100V and burn power via linear power supply -- Disadvantages: burns lots of power (10mA thru 100V is 1Watt);    Advantages: less cost and fewer parts</t>
  </si>
  <si>
    <t>C) Custom part that only turns on 110VAC when voltage is &lt;15V, and run that into linear voltage regulator IC  -- Disadvantages: need custom IC;    Advantages: small money and parts</t>
  </si>
  <si>
    <t xml:space="preserve"> * 0.3mSec out of every 8mSec (28/30th the time) we turn on custom ic transistor (or FET) and charge up cap to 16V. Cap drops down to 8V while it discharges.</t>
  </si>
  <si>
    <t>Power Cable</t>
  </si>
  <si>
    <t>Products</t>
  </si>
  <si>
    <t>Southwire Cable</t>
  </si>
  <si>
    <t>https://www.southwire.com/Building-Wire/c/building-wire</t>
  </si>
  <si>
    <t>https://www.mysouthwire.com/medias/sys_master/product-specifications/product-specifications/hd0/hda/8854083600414.pdf</t>
  </si>
  <si>
    <t>https://www.eng-tips.com/viewthread.cfm?qid=423389</t>
  </si>
  <si>
    <t>National Electric Code (power+data)</t>
  </si>
  <si>
    <t>Power Wires with 2 data</t>
  </si>
  <si>
    <t>Alternative low cost based core systems for vacuum insulation panels</t>
  </si>
  <si>
    <t>https://www.researchgate.net/publication/318326483_Alternative_low_cost_based_core_systems_for_vacuum_insulation_panels</t>
  </si>
  <si>
    <t>VIPA International - Vacuum Insulation Panel Association</t>
  </si>
  <si>
    <t>https://vipa-international.org/</t>
  </si>
  <si>
    <t>https://vipa-international.org/vacuum-insulation-panels</t>
  </si>
  <si>
    <t>vacuum panels, overview (EXCELLENT)</t>
  </si>
  <si>
    <t>Development of vacuum insulation panel with low cost core material</t>
  </si>
  <si>
    <t>https://www.semanticscholar.org/paper/Development-of-vacuum-insulation-panel-with-low-Alam/2f714b2017d881c47e081a775baed962dad8aafb</t>
  </si>
  <si>
    <t>https://www.va-q-tec.com/en/technology/vacuum-insulation-panels/</t>
  </si>
  <si>
    <t>va q tec company -- makes vip panels</t>
  </si>
  <si>
    <t>https://cordis.europa.eu/project/rcn/208638/factsheet/en</t>
  </si>
  <si>
    <t>EU Grant for VIP</t>
  </si>
  <si>
    <t>Low cost composites for vacuum insulation core material</t>
  </si>
  <si>
    <t>https://www.researchgate.net/publication/303667702_Low_cost_composites_for_vacuum_insulation_core_material</t>
  </si>
  <si>
    <t>https://www.buildinggreen.com/blog/r-10-vacuum-insulated-glazing</t>
  </si>
  <si>
    <t>Vacuum insulation Glass -- Commentary Article</t>
  </si>
  <si>
    <t>https://www.greenbuildingadvisor.com/article/vacuum-insulated-windows</t>
  </si>
  <si>
    <t>Vacuum insulation Glass -- 2009 blog</t>
  </si>
  <si>
    <t>Fabrication and characterization of low-cost and green vacuum insulation panels with fumed silica/rice husk ash hybrid core material</t>
  </si>
  <si>
    <t>https://www.sciencedirect.com/science/article/pii/S0264127516308243</t>
  </si>
  <si>
    <t>http://www.vip-bau.de/e_pages/technology/vip/howtheywork.htm</t>
  </si>
  <si>
    <t>Vip -- how they work (EXCELLENT)</t>
  </si>
  <si>
    <t>gsw hd / Ma2 / Research Papers / VIP / "2010 Baetens et al _ Vacuum insulation panels for building applications A review and beyond.pdf"</t>
  </si>
  <si>
    <t xml:space="preserve"> GOOD-&gt;</t>
  </si>
  <si>
    <r>
      <t xml:space="preserve">Vacuum insulation panels for building applications: A review and beyond </t>
    </r>
    <r>
      <rPr>
        <sz val="11"/>
        <color rgb="FFFF0000"/>
        <rFont val="Calibri"/>
        <family val="2"/>
        <scheme val="minor"/>
      </rPr>
      <t>(EXCELLENT)</t>
    </r>
  </si>
  <si>
    <t>https://training.ti.com/how-use-pmp21251-achieve-less-90mw-standby-power-auxless-acdc-power-supply?keyMatch=power%20supply%20milliwatt&amp;tisearch=Search-EN-Everything</t>
  </si>
  <si>
    <t>http://www.ti.com/tool/LOADDETECTPWRSUPPLY-REF?keyMatch=power%20supply%20milliwatt&amp;tisearch=Search-EN-Everything</t>
  </si>
  <si>
    <t xml:space="preserve">110/220VAC to 5V power supply </t>
  </si>
  <si>
    <t>http://www.ti.com/tool/TIDA-010060?jktype=design</t>
  </si>
  <si>
    <t>http://www.ti.com/lit/df/tidrzh6/tidrzh6.pdf</t>
  </si>
  <si>
    <t>Manual:</t>
  </si>
  <si>
    <t>https://www.homemade-circuits.com/high-current-transformerless-power-2/</t>
  </si>
  <si>
    <t>110/220VAC to 3V/5V power supply -- 6 Reference Design one 1 PCB, Small 110VAC to 3V power supplies (EXCELLENT)</t>
  </si>
  <si>
    <t>https://www.digikey.com/products/en/integrated-circuits-ics/pmic-ac-dc-converters-offline-switchers/748?k=&amp;pkeyword=&amp;sv=0&amp;pv1098=474&amp;sf=0&amp;FV=ffe002ec&amp;quantity=&amp;ColumnSort=0&amp;page=1&amp;pageSize=25</t>
  </si>
  <si>
    <t>https://www.microchip.com/wwwproducts/en/SR087</t>
  </si>
  <si>
    <t>https://www.monolithicpower.com/pub/media/document/MP100L_r1.0.pdf</t>
  </si>
  <si>
    <t>Digikey's list of Inductorless AC to DC Converters (i.e. our part):</t>
  </si>
  <si>
    <t>http://ww1.microchip.com/downloads/en/DeviceDoc/sr087db1.pdf</t>
  </si>
  <si>
    <t>https://www.monolithicpower.com/en/mp100l.html</t>
  </si>
  <si>
    <t>https://www.monolithicpower.com/pub/media/document/MP103_r1.01.pdf</t>
  </si>
  <si>
    <t>https://www.microchip.com/design-centers/power-management/dc-dc-converters-regulators/switching-regulators/inductorless-offline-switching-regulators</t>
  </si>
  <si>
    <t>Microchip -- List of "Inductorless Offline Switching Regulators"</t>
  </si>
  <si>
    <t>Published Thesis</t>
  </si>
  <si>
    <t>WPI</t>
  </si>
  <si>
    <t>CalPoly</t>
  </si>
  <si>
    <t>https://digitalcommons.wpi.edu/mqp/</t>
  </si>
  <si>
    <t>https://www.wpi.edu/academics/undergraduate/major-qualifying-project/project-search</t>
  </si>
  <si>
    <t>Project Proposals</t>
  </si>
  <si>
    <t>https://digitalcommons.wpi.edu/mqp-electricalcomputerengineering/</t>
  </si>
  <si>
    <t>Electrical Engineering</t>
  </si>
  <si>
    <t>https://digitalcommons.wpi.edu/do/search/?q=Yousef%20Mahmoud&amp;start=0&amp;context=12815566&amp;facet=</t>
  </si>
  <si>
    <t>Projects with advisor "Yousef Mahmoud"</t>
  </si>
  <si>
    <t>https://www.wpi.edu/academics/undergraduate/interactive-qualifying-project</t>
  </si>
  <si>
    <t>Digital Commons Reports</t>
  </si>
  <si>
    <t>IQP -- Junior Year, Interactive qualifying project</t>
  </si>
  <si>
    <t>MQP -- Major Qualifying Project (Senior Thesis)</t>
  </si>
  <si>
    <t>Product page:</t>
  </si>
  <si>
    <t>Reference Design:</t>
  </si>
  <si>
    <t>List of Products:</t>
  </si>
  <si>
    <t>50VDC step down ic, 6% efficient @ 1mA output (Input 1mA 48V 48mW quiesent, Output = 3V or 5V)</t>
  </si>
  <si>
    <t>https://www.digikey.com/products/en/integrated-circuits-ics/pmic-voltage-regulators-dc-dc-switching-regulators/739?FV=8f40064%2C8f40069%2C8f40087%2C8f40088%2C8f40098%2C8f40010%2C8f400a4%2C8f400a7%2C8f40011%2C8f400ab%2C8f40012%2C8f400d9%2C8f400da%2C8f400db%2C8f400e3%2C8f4012c%2C8f40021%2C8f4015a%2C8f40035%2C8f4005a%2C8f40063%2Cffe002e3&amp;quantity=1000&amp;ColumnSort=1000011&amp;page=1&amp;k=buck+converter&amp;pageSize=25&amp;pkeyword=buck+converter</t>
  </si>
  <si>
    <t>https://www.monolithicpower.com/pub/media/document/MP2459_r1.01.pdf</t>
  </si>
  <si>
    <t>https://www.digikey.com/product-detail/en/taiyo-yuden/LBR2518T100K/587-2052-2-ND/1788941</t>
  </si>
  <si>
    <t>$0.05, non-shielded 10uH inductor</t>
  </si>
  <si>
    <t>DigiKey, List of Buck IC's, &gt;= 50Vin, sorted in order of cost</t>
  </si>
  <si>
    <t>https://www.digikey.com/product-detail/en/taiyo-yuden/NRS6020T100MMGG/587-2926-2-ND/2665964</t>
  </si>
  <si>
    <t>https://www.digikey.com/products/en/inductors-coils-chokes/fixed-inductors/71?FV=4e804d7%2C4e804f7%2C4e80507%2C4e8070c%2C4e80748%2C4e8076d%2C4e80844%2C4e80845%2C4e80877%2C4e800e0%2C4e800e2%2C4e800e6%2C4e800e8%2C4e8091c%2C4e800ea%2C4e800ed%2C4e800ee%2C4e800ef%2C4e800f0%2C4e800f1%2C4e800f2%2C4e80976%2C4e8098b%2C4e80abd%2C4e80aeb%2C4e80b8c%2C4e80c45%2C4e80cab%2C4e80cb0%2C4e80cdc%2C4e80d5f%2C4e80d85%2C4e80dd1%2C4e80edf%2C4e80028%2C4e80029%2C4e81087%2C4e810cd%2C4e8113d%2C4e8115f%2C4e814dc%2C4e8173f%2C4e818f6%2C4e81a7c%2C4e81afc%2Cmu10%C2%B5H%7C2087%2Cffe00047&amp;quantity=0&amp;ColumnSort=1000011&amp;page=1&amp;pageSize=25</t>
  </si>
  <si>
    <t>https://www.digikey.com/product-detail/en/tdk-corporation/VLCF5020T-100MR87/445-3198-2-ND/1132624</t>
  </si>
  <si>
    <t>$0.15, claims shielded (yet might not be) 10uH inductor</t>
  </si>
  <si>
    <t>$0.27, GOOD shielded 10uH inductor, 5x5x2mm</t>
  </si>
  <si>
    <t>$0.10, Taiyo Yuden, Datasheet says Shielded (looks ok), #NRS4018T100MDGJ, 4x4mm</t>
  </si>
  <si>
    <t>https://www.digikey.com/product-detail/en/taiyo-yuden/NRS4018T100MDGJ/587-2886-2-ND/2648964</t>
  </si>
  <si>
    <t>https://www.monolithicpower.com/en/mp2459.html</t>
  </si>
  <si>
    <t>Product:</t>
  </si>
  <si>
    <t>https://www.digikey.com/products/en/inductors-coils-chokes/fixed-inductors/71?FV=1400008%2Cmu47%C2%B5H%7C2087%2Cffe00047%2C4e804ba%2C4e8007d%2C4e804f7%2C4e80507%2C4e8050f%2C4e80511%2C4e80082%2C4e8008b%2C4e8008c%2C4e8057f%2C4e8008f%2C4e805e3%2C4e805e6%2C4e805ec%2C4e805ee%2C4e8009a%2C4e8009c%2C4e800a0%2C4e800aa%2C4e800ac%2C4e806bf%2C4e800ad%2C4e800ae%2C4e806e5%2C4e800b4%2C4e800b5%2C4e80716%2C4e80718%2C4e800b8%2C4e800b9%2C4e800bb%2C4e8075a%2C4e800be%2C4e8076d%2C4e800bf%2C4e800c0%2C4e800c1%2C4e800c2%2C4e800c7%2C4e800c8%2C4e800cb%2C4e807fd%2C4e800cf%2C4e800d2%2C4e80876%2C4e800dd%2C4e800de%2C4e800df%2C4e800e0%2C4e800e2%2C4e800e5%2C4e800e7%2C4e800e8%2C4e8091c%2C4e800ea%2C4e800eb%2C4e800ed%2C4e800ee%2C4e800ef%2C4e800f0%2C4e800f1%2C4e800f3%2C4e80a24%2C4e8010d%2C4e80aa0%2C4e80b01%2C4e80b24%2C4e80b8c%2C4e80c27%2C4e80c51%2C4e80c5a%2C4e80c64%2C4e80c69%2C4e80c6a%2C4e80c6f%2C4e80c79%2C4e80c94%2C4e80c9a%2C4e80cab%2C4e80cb0%2C4e80cda%2C4e80cdc%2C4e80021%2C4e80ced%2C4e80cf3%2C4e80cf4%2C4e80d0a%2C4e80d3b%2C4e80d51%2C4e80d70%2C4e80d85%2C4e80db6%2C4e80dd1%2C4e80de7%2C4e80e26%2C4e80e4b%2C4e80ea1%2C4e80f0b%2C4e80f25%2C4e80f6c%2C4e80028%2C4e80fc2%2C4e80ff6%2C4e80029%2C4e81067%2C4e810c8%2C4e8112d%2C4e8113f%2C4e811cd%2C4e811de%2C4e811e5%2C4e812f8%2C4e81330%2C4e81362%2C4e813a9%2C4e813d9%2C4e8141a%2C4e81436%2C4e81449%2C4e8148e%2C4e81494%2C4e814b1%2C4e814bf%2C4e814d1%2C4e816c2%2C4e816c6%2C4e816df%2C4e8187f%2C4e81883%2C4e81887%2C4e81888%2C4e8003f%2C4e81923%2C4e81960%2C4e81a2c%2C4e81a34%2C4e81aa5%2C4e81b06%2C4e81b28%2C4e81b48%2C4e80308%2C4e80052%2C4e8033b%2C4e80343%2C4e80055%2C4e80360%2C4e80361%2C4e80364%2C4e80365%2C4e80367%2C4e80058%2C4e8005a%2C4e80060%2C4e80061%2C4e80062%2C4e803d7&amp;quantity=0&amp;ColumnSort=1000011&amp;page=1&amp;pageSize=25</t>
  </si>
  <si>
    <t>DigiKey, List of Inductors, sort by price, 47uH, &lt;0.20 ohms</t>
  </si>
  <si>
    <t>https://www.digikey.com/product-detail/en/taiyo-yuden/NRS8040T470MJGK/587-6119-2-ND/4970848</t>
  </si>
  <si>
    <t>https://www.digikey.com/product-detail/en/monolithic-power-systems-inc/MP2456GJ-Z/1589-1894-2-ND/9555318</t>
  </si>
  <si>
    <r>
      <t xml:space="preserve"> &gt; Low Cost Buck, #MP245</t>
    </r>
    <r>
      <rPr>
        <sz val="11"/>
        <color rgb="FFFF0000"/>
        <rFont val="Calibri"/>
        <family val="2"/>
        <scheme val="minor"/>
      </rPr>
      <t>9</t>
    </r>
    <r>
      <rPr>
        <sz val="11"/>
        <color theme="1"/>
        <rFont val="Calibri"/>
        <family val="2"/>
        <scheme val="minor"/>
      </rPr>
      <t>, 3V or 5Vout, &lt;5</t>
    </r>
    <r>
      <rPr>
        <sz val="11"/>
        <color rgb="FFFF0000"/>
        <rFont val="Calibri"/>
        <family val="2"/>
        <scheme val="minor"/>
      </rPr>
      <t>5</t>
    </r>
    <r>
      <rPr>
        <sz val="11"/>
        <color theme="1"/>
        <rFont val="Calibri"/>
        <family val="2"/>
        <scheme val="minor"/>
      </rPr>
      <t>V input, 1mA quiesent, $0.57</t>
    </r>
  </si>
  <si>
    <r>
      <t xml:space="preserve"> &gt; Low Cost Buck, #MP245</t>
    </r>
    <r>
      <rPr>
        <sz val="11"/>
        <color theme="6"/>
        <rFont val="Calibri"/>
        <family val="2"/>
        <scheme val="minor"/>
      </rPr>
      <t>6</t>
    </r>
    <r>
      <rPr>
        <sz val="11"/>
        <color theme="1"/>
        <rFont val="Calibri"/>
        <family val="2"/>
        <scheme val="minor"/>
      </rPr>
      <t>, 3V or 5Vout, &lt;5</t>
    </r>
    <r>
      <rPr>
        <sz val="11"/>
        <color rgb="FFFF0000"/>
        <rFont val="Calibri"/>
        <family val="2"/>
        <scheme val="minor"/>
      </rPr>
      <t>0</t>
    </r>
    <r>
      <rPr>
        <sz val="11"/>
        <color theme="1"/>
        <rFont val="Calibri"/>
        <family val="2"/>
        <scheme val="minor"/>
      </rPr>
      <t>V input, 1mA quiesent, $0.57, specifies 8% efficient at 1mA load</t>
    </r>
  </si>
  <si>
    <t>https://www.digikey.com/products/en/inductors-coils-chokes/fixed-inductors/71</t>
  </si>
  <si>
    <t>https://www.digikey.com/product-detail/en/taiyo-yuden/NRS4018T4R7MDGJ/587-2893-2-ND/2648971</t>
  </si>
  <si>
    <t>$0.10, Taiyo Yuden, Datasheet says Shielded (looks ok), #NRS4018T4R7MDGJ, 4x4mm</t>
  </si>
  <si>
    <t>https://www.monolithicpower.com/en/mp2456.html</t>
  </si>
  <si>
    <t>mA load</t>
  </si>
  <si>
    <t>MP2456</t>
  </si>
  <si>
    <t>load mW</t>
  </si>
  <si>
    <t>50Vin mA</t>
  </si>
  <si>
    <t>50Vin mW</t>
  </si>
  <si>
    <t>$/yr pwr</t>
  </si>
  <si>
    <t>DigiKey, List of Inductors, sort by price, 10uH, &lt;0.20 ohms, datasheet says shielded</t>
  </si>
  <si>
    <t>DigiKey, List of Inductors, sort by price, 4.7uH, &lt;0.20 ohms, datasheet says shielded</t>
  </si>
  <si>
    <t>DigiKey, List of Inductors, sort by price, 47uH, &lt;1.00 ohms, datasheet says shielded</t>
  </si>
  <si>
    <t>https://www.digikey.com/product-detail/en/taiyo-yuden/NRS4018T470MDGJ/587-5935-2-ND/5215128</t>
  </si>
  <si>
    <t>http://ww1.microchip.com/downloads/en/DeviceDoc/20005544A.pdf</t>
  </si>
  <si>
    <t>https://www.monolithicpower.com/en/design-tools/design-tools/dc-dc-designer-online.html?PN=MP2459</t>
  </si>
  <si>
    <t>https://www.monolithicpower.com/en/design-tools/design-tools.html</t>
  </si>
  <si>
    <t>power disipated by voltage regulator IC at maximum load (i.e. capacitor is connected to voltage regulator IC input, and vReg IC drops that to 5V, and gets hot)</t>
  </si>
  <si>
    <t>power disipated by voltage regulator IC when processor sleeps (i.e. capacitor is connected to voltage regulator IC input, and vReg IC drops that to 5V, and disipates heat with several mA flowing)</t>
  </si>
  <si>
    <t>Microchip #Sr087, $0.90</t>
  </si>
  <si>
    <t xml:space="preserve">voltage regulator output voltage (i.e. used to power microprocessor) </t>
  </si>
  <si>
    <t>https://www.digikey.com/product-detail/en/smc-diode-solutions/ABS8TR/1655-1958-2-ND/7244598</t>
  </si>
  <si>
    <t>Bridge Rectifiers</t>
  </si>
  <si>
    <t>https://www.digikey.com/products/en/discrete-semiconductor-products/diodes-bridge-rectifiers/299?FV=1c0001%2C1140003%2C1f140000%2Cffe0012b%2C8e8004f&amp;quantity=0&amp;ColumnSort=1000011&amp;page=1&amp;pageSize=25</t>
  </si>
  <si>
    <t>https://www.digikey.com/short/p5375n</t>
  </si>
  <si>
    <t>$.15, 200V/50uA blocking (10mW), 0.5Vdrop at 10mA</t>
  </si>
  <si>
    <t>https://www.digikey.com/products/en/discrete-semiconductor-products/diodes-bridge-rectifiers/299?FV=1c0001%2C1140003%2C1f140000%2Cffe0012b&amp;quantity=0&amp;ColumnSort=1000011&amp;page=1&amp;pageSize=25</t>
  </si>
  <si>
    <t>Bridge Rectifiers, Smd, Schottky, sort by price</t>
  </si>
  <si>
    <t>Bridge Rectifiers, Smd, sort by price</t>
  </si>
  <si>
    <t>Varistors, MOVs</t>
  </si>
  <si>
    <t>Varistors/MOVs, Smd, Active</t>
  </si>
  <si>
    <t>https://www.digikey.com/products/en/circuit-protection/tvs-varistors-movs/141?k=mov&amp;k=&amp;pkeyword=mov&amp;sv=0&amp;pv1989=0&amp;pv69=524&amp;pv69=3&amp;pv69=1135&amp;sf=1&amp;FV=ffe0008d&amp;quantity=&amp;ColumnSort=0&amp;page=1&amp;pageSize=25</t>
  </si>
  <si>
    <t>https://www.digikey.com/products/en/circuit-protection/tvs-varistors-movs/141?FV=114046f%2C1140003%2C114020c%2C1f140000%2Cffe0008d%2Cmu200V%7C2152&amp;quantity=0&amp;ColumnSort=1000011&amp;page=1&amp;k=mov&amp;pageSize=25&amp;pkeyword=mov</t>
  </si>
  <si>
    <t>200V max DC voltage</t>
  </si>
  <si>
    <t>https://www.digikey.com/product-detail/en/kemet/VP3225K401R150/399-13807-2-ND/6362885</t>
  </si>
  <si>
    <t>$0.30, 9J, 264V varistor voltage, SMD2</t>
  </si>
  <si>
    <t>https://www.digikey.com/product-detail/en/littelfuse-inc/V14E320PL4B/V14E320PL4B-ND/3428186</t>
  </si>
  <si>
    <t>https://www.digikey.com/product-detail/en/panasonic-electronic-components/ERZ-E10A511CS/ERZ-E10A511CS-ND/4569617</t>
  </si>
  <si>
    <t>Similar part, $0.13, 11mm disc, 136J, 6KA</t>
  </si>
  <si>
    <t>% of the time that switch is ON</t>
  </si>
  <si>
    <t>series resistor (ohms)</t>
  </si>
  <si>
    <t>current (mA)</t>
  </si>
  <si>
    <t>power (mW)</t>
  </si>
  <si>
    <t>vDrop (volts)</t>
  </si>
  <si>
    <t>https://www.digikey.com/product-detail/en/kemet/VP3225K401R300/399-17697-2-ND/6559132</t>
  </si>
  <si>
    <t>$0.30, 15J, 470V Typ varistor voltage, SMD2</t>
  </si>
  <si>
    <t>Varistors/MOVs, thru hole, active, 450 to 600V typical (275VAC to 350VAC)</t>
  </si>
  <si>
    <t>https://www.digikey.com/products/en/circuit-protection/tvs-varistors-movs/141?FV=ffe0008d%2C1140050%2C1f140000%2Cmu450V%7C2148%2Cmu455V%7C2148%2Cmu468.5V%7C2148%2Cmu470V%7C2148%2Cmu471.5V%7C2148%2Cmu480V%7C2148%2Cmu490V%7C2148%2Cmu501V%7C2148%2Cmu503V%7C2148%2Cmu510V%7C2148%2Cmu513.5V%7C2148%2Cmu518.5V%7C2148%2Cmu528.5V%7C2148%2Cmu549.5V%7C2148%2Cmu559V%7C2148%2Cmu560V%7C2148%2Cmu600V%7C2148&amp;quantity=0&amp;ColumnSort=1000011&amp;page=1&amp;pageSize=25</t>
  </si>
  <si>
    <t>https://www.digikey.com/product-detail/en/bourns-inc/MOV-10D561K/MOV-10D561K-ND/2407569</t>
  </si>
  <si>
    <t>series resistor rating (W)</t>
  </si>
  <si>
    <t>https://www.digikey.com/products/en/resistors/chip-resistor-surface-mount/52?k=resistor+chip&amp;k=&amp;pkeyword=resistor+chip&amp;sv=0&amp;pv2=6&amp;sf=0&amp;FV=1c0001%2C1f140000%2Cmu10+Ohms%7C2085%2Cffe00034%2C8053a%2C8008f%2C80030%2C8021a%2C8021e%2C80006%2C80042%2C80007%2C80008&amp;quantity=&amp;ColumnSort=0&amp;page=1&amp;pageSize=25</t>
  </si>
  <si>
    <t>https://www.digikey.com/product-detail/en/vishay-dale/CRCW251210R0FKEG/541-10.0AFTR-ND/1173516</t>
  </si>
  <si>
    <t>https://www.digikey.com/products/en/resistors/chip-resistor-surface-mount/52?k=resistor+chip&amp;k=&amp;pkeyword=resistor+chip&amp;sv=0&amp;pv2=8&amp;sf=0&amp;FV=1c0001%2C1f140000%2Cmu10+Ohms%7C2085%2Cffe00034&amp;quantity=&amp;ColumnSort=0&amp;page=1&amp;pageSize=25</t>
  </si>
  <si>
    <t>#CRCW2512, $0.05, 2512 (6mm x 3mm)</t>
  </si>
  <si>
    <t>https://www.digikey.com/product-detail/en/te-connectivity-passive-product/352210RJT/A121124TR-ND/5244975</t>
  </si>
  <si>
    <t>#352210RJT, $0.18, 2512 (6mm x 3mm)</t>
  </si>
  <si>
    <t>https://www.digikey.com/products/en/resistors/through-hole-resistors/53?FV=mu10+Ohms%7C2085%2Cffe00035%2C80008&amp;quantity=0&amp;ColumnSort=1000011&amp;page=1&amp;pageSize=25</t>
  </si>
  <si>
    <t>https://www.digikey.com/product-detail/en/yageo/FMP300FRF73-10R/FMP300FRF73-10R-ND/2169645</t>
  </si>
  <si>
    <t>#FCR1WSJT-52-10R, $0.02, 9mm x 3mm, safety</t>
  </si>
  <si>
    <t>https://www.digikey.com/product-detail/en/yageo/FCR1WSJT-52-10R/FCR1WSJT-52-10R-ND/9099985</t>
  </si>
  <si>
    <t>https://www.digikey.com/products/en/resistors/through-hole-resistors/53?FV=mu10+Ohms%7C2085%2Cffe00035%2C80006&amp;quantity=0&amp;ColumnSort=1000011&amp;page=1&amp;pageSize=25</t>
  </si>
  <si>
    <r>
      <t xml:space="preserve">List: 10ohm, </t>
    </r>
    <r>
      <rPr>
        <sz val="11"/>
        <color rgb="FFFF0000"/>
        <rFont val="Calibri"/>
        <family val="2"/>
        <scheme val="minor"/>
      </rPr>
      <t>1</t>
    </r>
    <r>
      <rPr>
        <sz val="11"/>
        <color theme="1"/>
        <rFont val="Calibri"/>
        <family val="2"/>
        <scheme val="minor"/>
      </rPr>
      <t xml:space="preserve">Watt, </t>
    </r>
    <r>
      <rPr>
        <sz val="11"/>
        <color rgb="FFFF0000"/>
        <rFont val="Calibri"/>
        <family val="2"/>
        <scheme val="minor"/>
      </rPr>
      <t>SMT</t>
    </r>
    <r>
      <rPr>
        <sz val="11"/>
        <color theme="1"/>
        <rFont val="Calibri"/>
        <family val="2"/>
        <scheme val="minor"/>
      </rPr>
      <t>, Resistor</t>
    </r>
  </si>
  <si>
    <r>
      <t xml:space="preserve">List: 10ohm, </t>
    </r>
    <r>
      <rPr>
        <sz val="11"/>
        <color rgb="FFFF0000"/>
        <rFont val="Calibri"/>
        <family val="2"/>
        <scheme val="minor"/>
      </rPr>
      <t>1</t>
    </r>
    <r>
      <rPr>
        <sz val="11"/>
        <color theme="1"/>
        <rFont val="Calibri"/>
        <family val="2"/>
        <scheme val="minor"/>
      </rPr>
      <t>Watt,</t>
    </r>
    <r>
      <rPr>
        <sz val="11"/>
        <color rgb="FFFF0000"/>
        <rFont val="Calibri"/>
        <family val="2"/>
        <scheme val="minor"/>
      </rPr>
      <t xml:space="preserve"> ThruHole</t>
    </r>
    <r>
      <rPr>
        <sz val="11"/>
        <color theme="1"/>
        <rFont val="Calibri"/>
        <family val="2"/>
        <scheme val="minor"/>
      </rPr>
      <t>, Resistor</t>
    </r>
  </si>
  <si>
    <r>
      <t xml:space="preserve">List: 10ohm, </t>
    </r>
    <r>
      <rPr>
        <sz val="11"/>
        <color rgb="FFFF0000"/>
        <rFont val="Calibri"/>
        <family val="2"/>
        <scheme val="minor"/>
      </rPr>
      <t>3</t>
    </r>
    <r>
      <rPr>
        <sz val="11"/>
        <color theme="1"/>
        <rFont val="Calibri"/>
        <family val="2"/>
        <scheme val="minor"/>
      </rPr>
      <t xml:space="preserve">Watt, </t>
    </r>
    <r>
      <rPr>
        <sz val="11"/>
        <color rgb="FFFF0000"/>
        <rFont val="Calibri"/>
        <family val="2"/>
        <scheme val="minor"/>
      </rPr>
      <t>SMT</t>
    </r>
    <r>
      <rPr>
        <sz val="11"/>
        <color theme="1"/>
        <rFont val="Calibri"/>
        <family val="2"/>
        <scheme val="minor"/>
      </rPr>
      <t>, Resistor</t>
    </r>
  </si>
  <si>
    <r>
      <t xml:space="preserve">List: 10ohm, </t>
    </r>
    <r>
      <rPr>
        <sz val="11"/>
        <color rgb="FFFF0000"/>
        <rFont val="Calibri"/>
        <family val="2"/>
        <scheme val="minor"/>
      </rPr>
      <t>3</t>
    </r>
    <r>
      <rPr>
        <sz val="11"/>
        <color theme="1"/>
        <rFont val="Calibri"/>
        <family val="2"/>
        <scheme val="minor"/>
      </rPr>
      <t xml:space="preserve">Watt, </t>
    </r>
    <r>
      <rPr>
        <sz val="11"/>
        <color rgb="FFFF0000"/>
        <rFont val="Calibri"/>
        <family val="2"/>
        <scheme val="minor"/>
      </rPr>
      <t>ThruHole</t>
    </r>
    <r>
      <rPr>
        <sz val="11"/>
        <color theme="1"/>
        <rFont val="Calibri"/>
        <family val="2"/>
        <scheme val="minor"/>
      </rPr>
      <t>, Resistor</t>
    </r>
  </si>
  <si>
    <t>https://www.analog.com/en/products/lt3014b.html</t>
  </si>
  <si>
    <t>$1.50, 0 to 80Vin, set vout with 2 resistors, 7uA quiesent</t>
  </si>
  <si>
    <t>All design tools</t>
  </si>
  <si>
    <t>DC to DC converter design tools</t>
  </si>
  <si>
    <t>BOM:</t>
  </si>
  <si>
    <t>http://www.ti.com/lit/df/tidrzh7/tidrzh7.pdf</t>
  </si>
  <si>
    <t>https://www.digikey.com/product-detail/en/panasonic-electronic-components/ECQ-E6474KFB/ECQ-E6474KFB-ND/2716442</t>
  </si>
  <si>
    <t>https://www.digikey.com/products/en?t=62&amp;pv2049=u0.47%C2%B5F&amp;pv1293=36</t>
  </si>
  <si>
    <t>0.47uF 630V Cap</t>
  </si>
  <si>
    <t>Design</t>
  </si>
  <si>
    <t>http://www.ti.com/lit/ds/symlink/tps7a78.pdf</t>
  </si>
  <si>
    <t>http://www.ti.com/product/TPS7A78/pinout-quality</t>
  </si>
  <si>
    <t xml:space="preserve">Switching cap regulator #Tps7a78 with integrated LDO (30 mA) </t>
  </si>
  <si>
    <t>https://www.digikey.com/product-detail/en/kemet/R463I347000M1M/R463I347000M1M-ND/9561703</t>
  </si>
  <si>
    <t>18x11mm</t>
  </si>
  <si>
    <t>Digikey List, CAP, Film, 0.47 uF, 630 V</t>
  </si>
  <si>
    <t>26x9mm</t>
  </si>
  <si>
    <t>#Tps7a78, $1.15</t>
  </si>
  <si>
    <t>110VAC to 3.3V -- High Voltage Input Buck Converter</t>
  </si>
  <si>
    <t>http://www.ti.com/product/UCC28880</t>
  </si>
  <si>
    <t>Webbench says: $2.89, 500mm^2</t>
  </si>
  <si>
    <t>http://www.ti.com/lit/ug/sluub56c/sluub56c.pdf</t>
  </si>
  <si>
    <t>Guide:</t>
  </si>
  <si>
    <t xml:space="preserve"> &gt; #TPS54062, $0.75 IC, $1.48 BOM, 124mm^2, 5 to 60Vin</t>
  </si>
  <si>
    <t>#TPS54062, $0.75 IC, $1.48 BOM, 124mm^2, 5 to 60Vin</t>
  </si>
  <si>
    <t>100KHz Clock: 1mA output 40% efficient, 10mA output 90% efficient</t>
  </si>
  <si>
    <t>One can play with components and clock to select Efficiency</t>
  </si>
  <si>
    <t>https://www.digikey.com/products/en/capacitors/ceramic-capacitors/60?FV=380002%2C403364%2C400fa3%2C401155%2C400007%2C400008%2C1f140000%2Cffe0003c%2Cmu1.5%C2%B5F%7C2049%2Cmu1%C2%B5F%7C2049%2Cmu10%C2%B5F%7C2049%2Cmu2.2%C2%B5F%7C2049%2Cmu3.3%C2%B5F%7C2049%2Cmu4.7%C2%B5F%7C2049&amp;quantity=0&amp;ColumnSort=1000011&amp;page=1&amp;k=capacitor&amp;pageSize=25&amp;pkeyword=capacitor</t>
  </si>
  <si>
    <t>https://www.digikey.com/product-detail/en/samsung-electro-mechanics/CL32B105KCJNNWE/1276-3384-2-ND/3889042</t>
  </si>
  <si>
    <t>https://www.digikey.com/product-detail/en/taiyo-yuden/HMK325BJ475KM-PE/587-5034-2-ND/6563627</t>
  </si>
  <si>
    <t>https://www.digikey.com/product-detail/en/taiyo-yuden/HMK316AC7225KL-TE/587-5026-2-ND/6563619</t>
  </si>
  <si>
    <t>https://www.digikey.com/product-detail/en/avx-corporation/12101C335K4T2A/478-12146-2-ND/9374707</t>
  </si>
  <si>
    <t>https://www.digikey.com/products/en/capacitors/ceramic-capacitors/60?k=capacitor&amp;k=&amp;pkeyword=capacitor&amp;sv=0&amp;pv14=32&amp;sf=0&amp;FV=11401c5%2C1f140000%2Cffe0003c&amp;quantity=&amp;ColumnSort=1000011&amp;page=1&amp;pageSize=25</t>
  </si>
  <si>
    <t>https://www.digikey.com/product-detail/en/samsung-electro-mechanics/CL31B106KBHNNNE/1276-6767-2-ND/5961251</t>
  </si>
  <si>
    <t>https://www.digikey.com/product-detail/en/samsung-electro-mechanics/CL31B475KBHNNNE/1276-2789-2-ND/3888447</t>
  </si>
  <si>
    <t>https://www.digikey.com/product-detail/en/samsung-electro-mechanics/CL31B225KBHNNNF/CL31B225KBHNNNF-ND/3894683</t>
  </si>
  <si>
    <t>2.2uF, 1206, 50V, $0.04, #CL31B225KBHNNNF</t>
  </si>
  <si>
    <t>4.7uF, 1206, 50V, $0.08, #CL31B475KBHNNNE</t>
  </si>
  <si>
    <t>10uF, 1206, 50V, $0.10, #CL31B106KBHNNNE</t>
  </si>
  <si>
    <t>2.2uF, 1206, 100V, $0.16</t>
  </si>
  <si>
    <t>3.3uF, 1210, 100V, $0.30</t>
  </si>
  <si>
    <t>4.7uF, 1210, 100V, $0.40</t>
  </si>
  <si>
    <t>List: SMT, 100V, sort by price, Capacitor</t>
  </si>
  <si>
    <t>List: SMT, 50V, sort by price, Capacitor</t>
  </si>
  <si>
    <t>List: SMT, 0805 sort by price, Inductor</t>
  </si>
  <si>
    <t>https://www.digikey.com/product-detail/en/tdk-corporation/MLZ2012N101LT000/445-9496-2-ND/3910287</t>
  </si>
  <si>
    <t>Inductor, $0.05, 100uH, 3.5ohms, 140mA max, 0805, #MLZ2012N101LT000</t>
  </si>
  <si>
    <t>Power Supply Components</t>
  </si>
  <si>
    <t>https://www.digikey.com/products/en/circuit-protection/tvs-varistors-movs/141?k=&amp;pkeyword=&amp;sv=0&amp;pv2146=u30V&amp;pv2146=u32V&amp;pv2146=u33V&amp;pv2146=u36V&amp;pv2146=u36.3V&amp;sf=0&amp;FV=9700065%2C9700067%2C9700071%2C9700072%2C9700077%2C9700078%2C9700079%2C9700080%2C9700087%2C9700089%2C970008a%2C9700091%2C9700095%2C97000b1%2C97000ca%2C97000d1%2C97000ff%2C970011a%2C970011e%2C9700145%2C970014f%2C97001c6%2C970020f%2C970021e%2C9700037%2C9700229%2C9700038%2C9700039%2C970003a%2C970003d%2C9700040%2C9700041%2C9700046%2C9700047%2C970004e%2C970004f%2C9700050%2C9700052%2C9700054%2C9700055%2C9700058%2C970005c%2C970005d%2C9700060%2C9700061%2C1f140000%2Cffe0008d&amp;quantity=&amp;ColumnSort=1000011&amp;page=1&amp;pageSize=25</t>
  </si>
  <si>
    <t>https://www.digikey.com/product-detail/en/bourns-inc/MOV-10D330K/MOV-10D330K-ND/2407553</t>
  </si>
  <si>
    <t>https://www.infineon.com/cms/en/product/promopages/aim-mc/Selecting-a-linear-voltage-regulator/Voltage-Regulator-Input-Protection.html</t>
  </si>
  <si>
    <t>Emissions Filter</t>
  </si>
  <si>
    <t>Capacitor: 2.2uF, 1206, 50V, $0.04, #CL31B225KBHNNNF</t>
  </si>
  <si>
    <t>Length mm</t>
  </si>
  <si>
    <t>width mm</t>
  </si>
  <si>
    <t>https://www.digikey.com/products/en/discrete-semiconductor-products/diodes-rectifiers-single/280?k=&amp;pkeyword=&amp;sv=0&amp;pv16=492&amp;sf=1&amp;FV=1140003%2C180004b%2C1f140000%2Cmu200V%7C2071%2Cffe00118%2Ce48000e%2Ce4800bc&amp;quantity=&amp;ColumnSort=1000011&amp;page=1&amp;pageSize=25</t>
  </si>
  <si>
    <t>List: SMT: 200V, 1Amp, sort by price, general purpose diode, DO-214AC SMA</t>
  </si>
  <si>
    <t>https://www.digikey.com/product-detail/en/micro-commercial-co/FS1DE-TP/1505-FS1DE-TP-CHP/4765974</t>
  </si>
  <si>
    <t>Diode: 200V, 1Amp, DO-214AC (5x2mm), #FS1DE-TP, $0.02</t>
  </si>
  <si>
    <t>Diodes (blocking)</t>
  </si>
  <si>
    <t>Resistor (0805)</t>
  </si>
  <si>
    <t>https://www.digikey.com/products/en/resistors/chip-resistor-surface-mount/52?k=resistor&amp;k=&amp;pkeyword=resistor&amp;sv=0&amp;pv1291=1037&amp;sf=1&amp;FV=c0001%2C1c0001%2C2b80016%2C1f140000%2Cmu10+Ohms%7C2085%2Cffe00034%2C400005%2C400006%2C400007%2C400008%2C402382&amp;quantity=&amp;ColumnSort=0&amp;page=1&amp;pageSize=25</t>
  </si>
  <si>
    <t>List: 10ohm, 0805, 1%, Resistor</t>
  </si>
  <si>
    <t>https://www.digikey.com/product-detail/en/koa-speer-electronics-inc/RK73H2ATTD10R0F/2019-RK73H2ATTD10R0FTR-ND/10234071</t>
  </si>
  <si>
    <t>Resistor: 10ohms, 0805 (2x1.25mm), 0.25W, #RK73H2ATTD10R0F</t>
  </si>
  <si>
    <t>Buck Converters</t>
  </si>
  <si>
    <t>Voltage Regulator</t>
  </si>
  <si>
    <t xml:space="preserve">  5Vout, &gt;40Vin</t>
  </si>
  <si>
    <t>https://www.digikey.com/products/en/integrated-circuits-ics/pmic-voltage-regulators-linear/699?FV=1c0001%2C1140071%2C1140543%2C1140003%2C8f40064%2C8f40069%2C8f40087%2C8f40088%2C8f40093%2C8f40010%2C8f400aa%2C8f400b1%2C8f400db%2C8f40034%2C8f40043%2C1bcc0038%2C1bcc025f%2C1bcc0355%2C1f140000%2Cffe002bb&amp;quantity=0&amp;ColumnSort=1000011&amp;page=1&amp;k=ldo&amp;pageSize=25&amp;pkeyword=ldo</t>
  </si>
  <si>
    <t>https://www.digikey.com/product-detail/en/diodes-incorporated/AP7384-50Y-13/AP7384-50Y-13DITR-ND/9765681</t>
  </si>
  <si>
    <t>Voltage Regulator: 5Vout, &lt;40Vin, SOT89 (4.5x4.2mm), $0.12, 25uA gnd current, #AP7384</t>
  </si>
  <si>
    <t>mm^2</t>
  </si>
  <si>
    <t>Diode: 200V, 0.2Amp, SOD-123 (4x2mm), #BAV20W, $0.02</t>
  </si>
  <si>
    <t>List: SMT: 200V, sort by price, general purpose diode, SOT23</t>
  </si>
  <si>
    <t>https://www.digikey.com/products/en/discrete-semiconductor-products/diodes-rectifiers-single/280?k=diode&amp;k=&amp;pkeyword=diode&amp;sv=0&amp;pv16=12624&amp;sf=1&amp;FV=1140003%2C180004b%2C1f140000%2Cmu200V%7C2071%2Cffe00118&amp;quantity=&amp;ColumnSort=1000011&amp;page=1&amp;pageSize=25</t>
  </si>
  <si>
    <t>Diode: 200V, 0.2Amp, SOT-23 (3x2.4mm), #BAS20LT3G, $0.02</t>
  </si>
  <si>
    <t>https://www.onsemi.com/pub/Collateral/BAS19LT1-D.PDF</t>
  </si>
  <si>
    <t>https://www.infineon.com/dgdl/Infineon-Linear_Regulators_and_Trackers_Protection_Circuits-AN-v01_11-EN.pdf?fileId=5546d4624e24005f014e7239697b7293</t>
  </si>
  <si>
    <t>Protection Application Note (GOOD)</t>
  </si>
  <si>
    <t>Voltage Regulator Input Protection</t>
  </si>
  <si>
    <t>https://www.digikey.com/product-detail/en/bourns-inc/MOV-10D680K/MOV-10D680K-ND/2407557</t>
  </si>
  <si>
    <t>http://www.ti.com/lit/ug/tidueq2/tidueq2.pdf</t>
  </si>
  <si>
    <t>https://www.digikey.com/products/en/capacitors/ceramic-capacitors/60?k=capacitor&amp;k=&amp;pkeyword=capacitor&amp;sv=0&amp;pv2049=u22%C2%B5F&amp;sf=1&amp;FV=380009%2C400007%2C11401c5%2C1f140000%2Cffe0003c%2Cmu22%C2%B5F%7C2049%2Cmu33%C2%B5F%7C2049%2Cmu47%C2%B5F%7C2049&amp;quantity=&amp;ColumnSort=1000011&amp;page=1&amp;pageSize=25</t>
  </si>
  <si>
    <t>List: SMT, 1206, 16V, 22uF, sort by price</t>
  </si>
  <si>
    <t>https://www.digikey.com/product-detail/en/samsung-electro-mechanics/CL31X226KOHN3NE/1276-3300-2-ND/3888958</t>
  </si>
  <si>
    <t>22uF, 1206, 16V, $0.11, 105C, #CL31X226KOHN3NE</t>
  </si>
  <si>
    <t>https://www.monolithicpower.com/en/products/dc-dc-power-conversion/ldo-voltage-supervisory/ldo/single-channel.html</t>
  </si>
  <si>
    <t>List of Monolythic Power Voltage Regulators (lowest cost is $0.50 Mp2013)</t>
  </si>
  <si>
    <t>https://www.monolithicpower.com/en/products/dc-dc-power-conversion/switching-regulators/step-down-buck/converters/vin-max-48v.html</t>
  </si>
  <si>
    <t>List of Monolythic Power Buck Converters, &gt; 48Vin</t>
  </si>
  <si>
    <t xml:space="preserve">Input: </t>
  </si>
  <si>
    <t xml:space="preserve">Output: </t>
  </si>
  <si>
    <t>5V/15mA</t>
  </si>
  <si>
    <t>Protection:</t>
  </si>
  <si>
    <t>Technique:</t>
  </si>
  <si>
    <t>(ohms)</t>
  </si>
  <si>
    <t>Drop input voltage across voltage regulator.</t>
  </si>
  <si>
    <t>Protection R-series resistance</t>
  </si>
  <si>
    <t>Emissions input filter inductor resistance</t>
  </si>
  <si>
    <t>input res</t>
  </si>
  <si>
    <t>drop (mV)</t>
  </si>
  <si>
    <t>Very efficient buck converter</t>
  </si>
  <si>
    <t>Total IC Cost:</t>
  </si>
  <si>
    <t>Total IC mm^2:</t>
  </si>
  <si>
    <t>load current</t>
  </si>
  <si>
    <t>https://www.digikey.com/products/en/integrated-circuits-ics/pmic-voltage-regulators-dc-dc-switching-regulators/739?FV=ffe002e3%2C8f40069%2C8f40087%2C8f40088%2C8f400a4%2C8f40011%2C8f400b1%2C8f400e3%2C8f4012c%2C8f40021%2C8f40039&amp;quantity=0&amp;ColumnSort=1000011&amp;page=1&amp;pageSize=25</t>
  </si>
  <si>
    <t>DigiKey, List of Buck IC's, &gt;= 75Vin, sorted in order of cost</t>
  </si>
  <si>
    <t>https://www.digikey.com/product-detail/en/monolithic-power-systems-inc/MP4569GQ-Z/MP4569GQ-Z-ND/7361525</t>
  </si>
  <si>
    <t xml:space="preserve"> &gt; Efficient Buck Converter, #MP4569, &lt;75Vin, 0.02mA quiesent, $1.06, 50% efficient at 1mA load</t>
  </si>
  <si>
    <t>Efficient Buck Converter, #MP4569, &lt;75Vin, 0.02mA quiesent, $1.06, 50% efficient at 1mA load</t>
  </si>
  <si>
    <t>https://www.monolithicpower.com/pub/media/document/MP4569_r1.0.pdf</t>
  </si>
  <si>
    <t>maximum working input voltage</t>
  </si>
  <si>
    <t>uH</t>
  </si>
  <si>
    <t>Minimum inductor (L-min):</t>
  </si>
  <si>
    <t>why does L-min go up when your I-peak goes down?</t>
  </si>
  <si>
    <t>$0.16, Taiyo Yuden, Shielded, #NRS8040T470MJGK, 8x8mm</t>
  </si>
  <si>
    <t>Inductor: 47uH, 0.78ohms, $0.10, Shielded, 4x4mm, Taiyo Yuden, #NRS4018T470MDGJ</t>
  </si>
  <si>
    <t>Input Capactor</t>
  </si>
  <si>
    <t>Output Capacitor</t>
  </si>
  <si>
    <t>total pwr</t>
  </si>
  <si>
    <t>https://www.diodes.com/assets/Datasheets/AP7384.pdf</t>
  </si>
  <si>
    <t>uA</t>
  </si>
  <si>
    <t>voltage regulator gnd current</t>
  </si>
  <si>
    <t>pwr (mW)</t>
  </si>
  <si>
    <t>total load</t>
  </si>
  <si>
    <t>Efficiency &amp; Power</t>
  </si>
  <si>
    <t>load</t>
  </si>
  <si>
    <t>Processor sleeping</t>
  </si>
  <si>
    <t>Typical operations</t>
  </si>
  <si>
    <t>Maximum operations</t>
  </si>
  <si>
    <t>total inpt</t>
  </si>
  <si>
    <t>buck converter quiesent power</t>
  </si>
  <si>
    <t>supply eff</t>
  </si>
  <si>
    <t>buck ic</t>
  </si>
  <si>
    <t>eff (%)</t>
  </si>
  <si>
    <t>High Input Voltage (e.g. 450V) Linear Regulator (burns lots of power), Tiny yet Inefficient Power supply</t>
  </si>
  <si>
    <t>Protection Application Notes</t>
  </si>
  <si>
    <t>Power Supply Design Resources</t>
  </si>
  <si>
    <t>TI #TPS54062 -- 60VDC to 5VDC buck converter, Efficient if you play with components and optimize</t>
  </si>
  <si>
    <t>#MP245x -- 55VDC to 5V, buck converter, Monolythic Power</t>
  </si>
  <si>
    <t>Linear Regulators</t>
  </si>
  <si>
    <t>TI Buck Converters</t>
  </si>
  <si>
    <t>110VAC to 5V Power Supply OPTIONS</t>
  </si>
  <si>
    <t>UCC28880DR, $.66, 700Vin buck converter</t>
  </si>
  <si>
    <t>48VDC to 5V Power Supply OPTIONS</t>
  </si>
  <si>
    <t xml:space="preserve"> &gt; Hobbiest w/ different 110VAC to 3V designs:</t>
  </si>
  <si>
    <t xml:space="preserve"> &gt; Example circuit using transistor and vRef</t>
  </si>
  <si>
    <t>TI Buck Converter App Notes</t>
  </si>
  <si>
    <t>IC's</t>
  </si>
  <si>
    <t>Buck IC's</t>
  </si>
  <si>
    <t>&gt; 4 to 60VDC input, 3 to 5VDC output, 100mA, Module</t>
  </si>
  <si>
    <t>&gt; How to use PMP21251: Achieve less than 90mW standby power for auxless AC/DC power supply</t>
  </si>
  <si>
    <t>Discussions</t>
  </si>
  <si>
    <t>Schematics, &lt;300mA power supplies</t>
  </si>
  <si>
    <t>https://www.monolithicpower.com/en/mp171.html</t>
  </si>
  <si>
    <t>MP171 - 110/220VAC to 5V, 60mA, Buck, $.44, 30mW quiesent no load, 2018 part, green mode (less Freq w/ less load)</t>
  </si>
  <si>
    <t>Monolithic Power #MP100L, $0.64</t>
  </si>
  <si>
    <t>Monolithic Power #MP103, $0.54</t>
  </si>
  <si>
    <t>https://www.digikey.com/product-detail/en/te-connectivity-passive-product/SMW233RJT/A103594TR-ND/2366519</t>
  </si>
  <si>
    <t>#SMW233RJT, $0.14, 2512 (7mm x 4mm), 33ohm, 2W, flame safety</t>
  </si>
  <si>
    <t>List: 33ohm, Resistor, Flame Retardant, 0.5 to 3W</t>
  </si>
  <si>
    <t>https://www.digikey.com/products/en/resistors/chip-resistor-surface-mount/52?k=resistor&amp;k=&amp;pkeyword=resistor&amp;sv=0&amp;pv7=1&amp;pv2=5&amp;pv2=7&amp;pv2=8&amp;sf=0&amp;FV=mu33+Ohms%7C2085%2Cffe00034%2C1429a8%2C142033%2C142035&amp;quantity=&amp;ColumnSort=0&amp;page=1&amp;pageSize=25</t>
  </si>
  <si>
    <t>List: 33ohm, Resistor, Thru Hole, Flame Retardant, 1W</t>
  </si>
  <si>
    <t>https://www.digikey.com/product-detail/en/yageo/FKN1WSJR-52-33R/FKN1WSJR-52-33R-ND/9101379</t>
  </si>
  <si>
    <t>https://www.digikey.com/products/en/resistors/through-hole-resistors/53?FV=1429a8%2C142af0%2C14325d%2C14325e%2C143260%2C143267%2C143269%2C14326b%2C14349d%2C1434e8%2C143514%2C14461f%2C144814%2C144815%2C142032%2C142033%2C142034%2C142035%2C142036%2C142037%2C1420e0%2C1425a3%2C1f140000%2Cmu33+Ohms%7C2085%2Cffe00035%2C80006&amp;quantity=0&amp;ColumnSort=1000011&amp;page=1&amp;pageSize=25</t>
  </si>
  <si>
    <t>http://www.yageo.com/NewPortal/yageodocoutput?fileName=/pdf/throughhole/Yageo_LR_FKN_2013.pdf</t>
  </si>
  <si>
    <t>Series Fuse Resistor, 33ohm, 1W, $0.03, Flame/Fusible/Safety, 9x3mm, Thru Hole, #FKN1WSJR-52-33R</t>
  </si>
  <si>
    <t>List: SMT, 2220, 1KV, sort by price</t>
  </si>
  <si>
    <t>https://www.mouser.com/Passive-Components/Capacitors/Ceramic-Capacitors/_/N-5g8m?P=1yyirz7Z1yp7xv3Z1yzmotm&amp;Ns=Pricing|0</t>
  </si>
  <si>
    <t>https://www.mouser.com/ProductDetail/Murata-Electronics/GRM55DR73A224KW94L?qs=sGAEpiMZZMs0AnBnWHyRQCZFsEygxoaDbConn%2Fi8q%252B8wfg256UreuQ%3D%3D</t>
  </si>
  <si>
    <t>0.22uF, 2220 (5x6mm), 1KV, $.41, #GRM55DR73A224KW94L</t>
  </si>
  <si>
    <t>https://www.mouser.com/ProductDetail/KEMET/C1808V223KDRACTU?qs=sGAEpiMZZMs0AnBnWHyRQOYRcarA5hN2QAs9bOxZFGU%3D</t>
  </si>
  <si>
    <t>List: SMT, 1808, 1KV, sort by price</t>
  </si>
  <si>
    <t>https://www.mouser.com/Passive-Components/Capacitors/Ceramic-Capacitors/_/N-5g8m?P=1z0wpqnZ1z0wpseZ1z0whw0Z1z0wps3Z1z0wpznZ1yyirz7Z1yp7xv3Z1yzmotsZ1yzmotq&amp;Ns=Pricing%7c0</t>
  </si>
  <si>
    <t>Vdroop</t>
  </si>
  <si>
    <t>Current (mA)</t>
  </si>
  <si>
    <t>time (secs)</t>
  </si>
  <si>
    <t>Cap (uF)</t>
  </si>
  <si>
    <t>Varistor, $0.09, 70J, 2.5KA, 10mm disc, thru hole, Bourns #MOV-10D561K, &lt; 320VAC, turns on between 504 and 616VDC</t>
  </si>
  <si>
    <t>https://www.digikey.com/products/en/inductors-coils-chokes/fixed-inductors/71?k=&amp;pkeyword=&amp;sv=0&amp;pv2087=u22%C2%B5H&amp;sf=0&amp;FV=142c2800%2C142c040d%2C142c0a1c%2Cmu10%C2%B5H%7C2087%2Cmu15%C2%B5H%7C2087%2Cmu22%C2%B5H%7C2087%2Cmu2222mA%7C2088%7C1%2Cmu250mA%7C2088%7C0%2Cffe00047&amp;quantity=&amp;ColumnSort=1000011&amp;page=1&amp;pageSize=25</t>
  </si>
  <si>
    <t>Inductor, $0.08, 22uH, 2.2ohms, 280mA max, 0805, #CB2012T220K</t>
  </si>
  <si>
    <t>https://www.digikey.com/product-detail/en/taiyo-yuden/CB2012T220K/587-2455-2-ND/2230240</t>
  </si>
  <si>
    <t>List: SMT, 0805 sort by price, Inductor, 250mA max, 22uH</t>
  </si>
  <si>
    <t>Capacitor: 0.022uF, 1808 (4.5x2mm), 1KV, $.11, #C1808V223KDRACTU</t>
  </si>
  <si>
    <t>bom</t>
  </si>
  <si>
    <t>sch</t>
  </si>
  <si>
    <t>docs</t>
  </si>
  <si>
    <t>Drooping Capacitor</t>
  </si>
  <si>
    <t>https://www.mouser.com/Passive-Components/Capacitors/Ceramic-Capacitors/_/N-5g8m?P=1yyirz7Z1yp7xv3Z1z0wqu1&amp;Ns=Pricing|0</t>
  </si>
  <si>
    <t>$.46, 2220 (6x5mm)</t>
  </si>
  <si>
    <t>Ceramic</t>
  </si>
  <si>
    <t>https://www.mouser.com/Passive-Components/Capacitors/Film-Capacitors/_/N-9x371?P=1z0wqu1Z1yo1n4c&amp;Ns=Pricing|0</t>
  </si>
  <si>
    <t>Film, 350vac, 630vdc</t>
  </si>
  <si>
    <t>$.49, 16x9mm, thru hole</t>
  </si>
  <si>
    <t xml:space="preserve">Mica </t>
  </si>
  <si>
    <t>Polymer</t>
  </si>
  <si>
    <t>Safety</t>
  </si>
  <si>
    <t>https://www.mouser.com/Passive-Components/Capacitors/Safety-Capacitors/_/N-fb8xl?P=1z0wqu1Z1yp7ck6Z1y9p90lZ1yp0uc3Z1yndmrvZ1yo18huZ1yo19lyZ1yo1n4cZ1ywtaisZ1yrlnvcZ1yo18ezZ1yp7zipZ1yo19lnZ1ykkiycZ1yo19l7Z1yp7xv3&amp;Ns=Pricing%7c0</t>
  </si>
  <si>
    <t>https://www.mouser.com/ProductDetail/EPCOS-TDK/B32922C3224M000?qs=sGAEpiMZZMu3dWSqd4Tl0AinJxIOKJgEQBvhEXh9kG4%3D</t>
  </si>
  <si>
    <t>PolyP (PP)</t>
  </si>
  <si>
    <t>$.17, 18x7mm, thru hole</t>
  </si>
  <si>
    <t xml:space="preserve">Polyester </t>
  </si>
  <si>
    <t>big</t>
  </si>
  <si>
    <t>List: 0.22uF, 300VAC/630VDC</t>
  </si>
  <si>
    <t>Expected PCB (in^2):</t>
  </si>
  <si>
    <t>Constants</t>
  </si>
  <si>
    <t>$/Yr/mW</t>
  </si>
  <si>
    <t>cost of electricity over one year, for each mW of power</t>
  </si>
  <si>
    <t>cost of electricity, per kWhr, usa average</t>
  </si>
  <si>
    <t>Ratio of Expected PCB surface area to the sum of the elecrical components</t>
  </si>
  <si>
    <t>in^2/mm^2</t>
  </si>
  <si>
    <t>Number of square inches in one square mm</t>
  </si>
  <si>
    <t>PCB Design</t>
  </si>
  <si>
    <t>&lt;&lt; less current, full bridge instead of half bridge</t>
  </si>
  <si>
    <t>https://www.mouser.com/Passive-Components/Capacitors/Safety-Capacitors/_/N-fb8xl?P=1yp7zip&amp;Ns=Pricing|0</t>
  </si>
  <si>
    <t>List: Capacitor, 630VDC, Safety</t>
  </si>
  <si>
    <t>VAC Volts</t>
  </si>
  <si>
    <t>Vpp</t>
  </si>
  <si>
    <t>https://www.mouser.com/Passive-Components/Capacitors/Safety-Capacitors/_/N-fb8xl?P=1ykkiycZ1yo19l7Z1yo19msZ1yp7xv3Z1ykl8zzZ1z0wqua&amp;Ns=Pricing|0</t>
  </si>
  <si>
    <t xml:space="preserve">List: Capacitor, 800VDC, Safety, </t>
  </si>
  <si>
    <t>List: Capacitor, 800VDC, Safety, 0.47uF</t>
  </si>
  <si>
    <t>https://www.mouser.com/Passive-Components/Capacitors/Safety-Capacitors/_/N-fb8xl?P=1ykkiycZ1yo19l7Z1yo19msZ1yp7xv3Z1ykl8zz</t>
  </si>
  <si>
    <t>https://www.mouser.com/ProductDetail/KEMET/R49AN34700001K?qs=sGAEpiMZZMu3dWSqd4Tl0Mk92qi26PsTijC3Id1AmBjk0u4WzSuATg%3D%3D</t>
  </si>
  <si>
    <t>Capacitor, 800VDC, Safety, 0.47uF, $0.38, 26x10mm, 18mm H, #R49AN34700001K</t>
  </si>
  <si>
    <t>Overvoltage burns up protection input series resistance</t>
  </si>
  <si>
    <t>Power lost from protection R-series and emissions inductor resistance</t>
  </si>
  <si>
    <t>pwr lost</t>
  </si>
  <si>
    <t>(mW)</t>
  </si>
  <si>
    <t>Load Current</t>
  </si>
  <si>
    <t>minimum input voltage</t>
  </si>
  <si>
    <t>maximum input voltage</t>
  </si>
  <si>
    <t>https://www.monolithicpower.com/mp171.html</t>
  </si>
  <si>
    <t>Buck Converter:</t>
  </si>
  <si>
    <t>MP171</t>
  </si>
  <si>
    <t>Power Disipated across Voltage Drop</t>
  </si>
  <si>
    <t>output voltage (e.g. microprocessor power input)</t>
  </si>
  <si>
    <t>https://www.monolithicpower.com/en/documentview/productdocument/index/doc_url/L0VWMTcxLUotMDBBX3IxLjAucGRm/prod_id/MTI4NQ/</t>
  </si>
  <si>
    <t>https://www.monolithicpower.com/en/documentview/productdocument/index/doc_url/L0VWMTcxLVMtMDBBX3IxLjAucGRm/prod_id/MTI4Ng/</t>
  </si>
  <si>
    <t>Ref bd#J:</t>
  </si>
  <si>
    <t>Ref bd#S:</t>
  </si>
  <si>
    <t>https://www.digikey.com/product-detail/en/vishay-bc-components/AC03000001009JACCS/PPC3W10ATB-ND/4093333</t>
  </si>
  <si>
    <t>https://www.digikey.com/products/en?keywords=7447462102</t>
  </si>
  <si>
    <t>https://www.digikey.com/product-detail/en/diodes-incorporated/S1J-13-F/S1J-FDITR-ND/725027</t>
  </si>
  <si>
    <t>qty</t>
  </si>
  <si>
    <t>https://www.digikey.com/products/en/discrete-semiconductor-products/diodes-rectifiers-single/280?k=&amp;pkeyword=&amp;sv=0&amp;pv69=3&amp;sf=1&amp;FV=23c00eb%2Ce480015%2Cmu1000V%7C2071%2Cmu800V%7C2071%2Cmu880V%7C2071%2Cmu900V%7C2071%2Cmu990V%7C2071%2Cffe00118%2C1c0001&amp;quantity=&amp;ColumnSort=1000011&amp;page=1&amp;pageSize=25</t>
  </si>
  <si>
    <t>List: SMT: 800V or 1KV, 500mA, sort by price, &lt;= 500nSec recovery</t>
  </si>
  <si>
    <t>https://www.digikey.com/product-detail/en/taiwan-semiconductor-corporation/RSFKL-RVG/RSFKLRVGTR-ND/7358214</t>
  </si>
  <si>
    <t>https://www.digikey.com/short/p5m53r</t>
  </si>
  <si>
    <t>DigiKey, List of Inductors, sort by price, 300..500uH, 100..500mA, &lt; 10ohms, SMT, Shielded</t>
  </si>
  <si>
    <t>https://www.digikey.com/product-detail/en/tdk-corporation/VLS6045EX-471M/445-180927-2-ND/9607851</t>
  </si>
  <si>
    <t>Inductor: 470uH, 2ohms, $0.10, Shielded, 6x6mm, TDK #VLS6045EX-471M</t>
  </si>
  <si>
    <t>MP Ref Design uses Wurth, #7447462102</t>
  </si>
  <si>
    <t>Diode: 500mA/800V, 1.3Vf @ 500mA, 5uA@800Vr, $0.06, 500nSec, Sub SMA (3x2mm), #RSFKL RVG</t>
  </si>
  <si>
    <t>6 low cost 0603 parts</t>
  </si>
  <si>
    <t>buck ic in</t>
  </si>
  <si>
    <t>curr (mA)</t>
  </si>
  <si>
    <t>Input Resistance</t>
  </si>
  <si>
    <t>List: 100ohm, Resistor, Thru Hole, Flame Retardant, Safety, Fusible, 500mW</t>
  </si>
  <si>
    <t>https://www.digikey.com/products/en/resistors/through-hole-resistors/53?k=&amp;pkeyword=&amp;sv=0&amp;sf=0&amp;FV=80005%2C14325e%2C142033%2C1c0001%2C1f140000%2Cmu100+Ohms%7C2085%2Cffe00035&amp;quantity=&amp;ColumnSort=1000011&amp;page=1&amp;pageSize=25</t>
  </si>
  <si>
    <t>https://www.digikey.com/product-detail/en/vishay-bc-components/NFR25H0001000JR500/PPC100BTR-ND/614118</t>
  </si>
  <si>
    <t>Resistor/Fuse, 33ohm, 1W, $0.03, Flame/Safety, 9x3mm, Thru Hole, #FKN1WSJR-52-33R</t>
  </si>
  <si>
    <t>Resistor/Fuse: 100ohm, .5W, $0.05, Flame/Safety, 3x6mm, Thru Hole, #NFR25H0001000JR500</t>
  </si>
  <si>
    <t>????</t>
  </si>
  <si>
    <t>Varistors/MOVs, thru hole, active</t>
  </si>
  <si>
    <t>Varistors/MOVs, active, 60V max DC (varistor min V little highter), sort by price</t>
  </si>
  <si>
    <t>https://www.digikey.com/products/en/circuit-protection/tvs-varistors-movs/141?k=&amp;pkeyword=&amp;sv=0&amp;pv2152=u60V&amp;pv2152=u63V&amp;pv2152=u65V&amp;pv2152=u66V&amp;sf=0&amp;FV=1c0001%2C1f140000%2Cffe0008d&amp;quantity=&amp;ColumnSort=1000011&amp;page=1&amp;pageSize=25</t>
  </si>
  <si>
    <t>Varistors/MOVs, active, 60V max DC (varistor min V little highter), sort by price, 7mm disc</t>
  </si>
  <si>
    <t>https://www.digikey.com/products/en/circuit-protection/tvs-varistors-movs/141?FV=1c0001%2C1f140000%2Cmu60V%7C2152%2Cmu63V%7C2152%2Cmu65V%7C2152%2Cmu66V%7C2152%2Cffe0008d%2C40127e&amp;quantity=0&amp;ColumnSort=1000011&amp;page=1&amp;pageSize=25</t>
  </si>
  <si>
    <t>Varistor, $0.06, 5J, 1KA, 7mm disc, thru hole, 65V Max DC, varistor turns on between 74V and 90V, Bourns #MOV-07D820KTRTR-ND</t>
  </si>
  <si>
    <t>https://www.digikey.com/product-detail/en/bourns-inc/MOV-07D820KTR/MOV-07D820KTRTR-ND/2408218</t>
  </si>
  <si>
    <t>Buck converter IC supports &lt; 80Vin, varistor clamp turns on between 61V and 75V, excess voltage dropped across 100ohm resistor</t>
  </si>
  <si>
    <t>https://www.digikey.com/product-detail/en/bourns-inc/MOV-07D680KTR/MOV-07D680KTRTR-ND/2407582</t>
  </si>
  <si>
    <t>http://www.ti.com/lit/ds/symlink/ucc28880.pdf</t>
  </si>
  <si>
    <t>Ucc28880</t>
  </si>
  <si>
    <t>Capacitor after bridge and at input of Buck Converter</t>
  </si>
  <si>
    <t>0.1mA Quiesient Current</t>
  </si>
  <si>
    <r>
      <rPr>
        <sz val="11"/>
        <color rgb="FFFF0000"/>
        <rFont val="Calibri"/>
        <family val="2"/>
        <scheme val="minor"/>
      </rPr>
      <t xml:space="preserve">6  </t>
    </r>
    <r>
      <rPr>
        <sz val="11"/>
        <color theme="1"/>
        <rFont val="Calibri"/>
        <family val="2"/>
        <scheme val="minor"/>
      </rPr>
      <t xml:space="preserve"> mA Quiesient Current</t>
    </r>
  </si>
  <si>
    <t>DESIGN: Tiny Power Supply BURNS POWER via LDO -- Output: 5V/15mA,  Input: 7VDC to 26VDC, LDO Voltage Regulator Burns Power</t>
  </si>
  <si>
    <t>7VDC to 26VDC</t>
  </si>
  <si>
    <t>Voltage regulator IC supports &lt; 40Vin, varistor working voltage is &lt; 26V, varistor clamp turns on between 30V and 36V, excess voltage dropped across 33ohm resistor</t>
  </si>
  <si>
    <t>ratio of on to off</t>
  </si>
  <si>
    <t xml:space="preserve">mA </t>
  </si>
  <si>
    <t>power dissipated by Rseries, average</t>
  </si>
  <si>
    <t>average power disipated by entire supply</t>
  </si>
  <si>
    <t>protection resistor, Rseries</t>
  </si>
  <si>
    <t>current when ON</t>
  </si>
  <si>
    <t>voltage drop across Rseries, when ON</t>
  </si>
  <si>
    <t>power dissipated by Rseries, when ON</t>
  </si>
  <si>
    <t>voltage at Cap, when ON</t>
  </si>
  <si>
    <t xml:space="preserve"> * ON when Vin &lt; 34V, output = 12V fixed</t>
  </si>
  <si>
    <t>uF (10mA, 20mSec, 2Vripple)</t>
  </si>
  <si>
    <t>22uF -- $2 -- costly</t>
  </si>
  <si>
    <t>uF (10mA, 20mSec, 20Vripple)</t>
  </si>
  <si>
    <t xml:space="preserve"> * ON when Vin &lt; 32V, external NPN, output set w/ 2 R's</t>
  </si>
  <si>
    <t>List: 0.1uF, 275VAC, safety</t>
  </si>
  <si>
    <t>https://www.mouser.com/Passive-Components/Capacitors/Safety-Capacitors/_/N-fb8xl?P=1yp7ck6Z1z0wqus&amp;Ns=Pricing|0</t>
  </si>
  <si>
    <t>https://www.mouser.com/ProductDetail/KEMET/R46KI3100JEM1K?qs=sGAEpiMZZMu3dWSqd4Tl0Kd2v638%252BVqAv3mEVLxWCNs%3D</t>
  </si>
  <si>
    <t>THEORY OF OPERATION: 110VAC to 5V (run linear power supply supplied with power 1/15th the time)</t>
  </si>
  <si>
    <t xml:space="preserve"> * Ref design says "standby pwr 60mW 110VAC, 200mW 220VAC", yet that might be for specific Vcapacitor voltage which I can vary, depending on load, etc</t>
  </si>
  <si>
    <t xml:space="preserve"> * ON when Vin &lt; X volts, X set with two R's, Vreg = 5V fixed, internal transistor</t>
  </si>
  <si>
    <t xml:space="preserve"> * qgbt transistors costs $.55 minimum</t>
  </si>
  <si>
    <t xml:space="preserve"> * datasheet says "less than 100mW standby pwr" -- not sure if less if I configure differently</t>
  </si>
  <si>
    <t xml:space="preserve"> * 40uA input quiesent, 40uA*110V=4.8mW, 40uA*220V=10mW</t>
  </si>
  <si>
    <t>LTpowerCAD, Analog Devices Software</t>
  </si>
  <si>
    <t>https://www.analog.com/media/en/technical-documentation/product-selector-card/DCDCcontroller-web.pdf</t>
  </si>
  <si>
    <t>https://www.analog.com/en/design-center/ltpowercad.html</t>
  </si>
  <si>
    <t>summary of IC's</t>
  </si>
  <si>
    <t>software page</t>
  </si>
  <si>
    <t>https://www.analog.com/media/en/technical-documentation/application-notes/AN140.pdf</t>
  </si>
  <si>
    <t>Basic Concepts of Linear Regulator and Switching Mode Power Supplies</t>
  </si>
  <si>
    <t>Designing Power Supply Parameters in Five Simple Steps with the LTpowerCAD Design Tool</t>
  </si>
  <si>
    <t>https://www.analog.com/media/en/technical-documentation/application-notes/an158f.pdf</t>
  </si>
  <si>
    <t>LTC3631, LTC3642 -- very costly $3 parts</t>
  </si>
  <si>
    <t>https://www.monolithicpower.com/pub/media/document/MP4410_r1.0.pdf</t>
  </si>
  <si>
    <t>#MP4410 -- 45VDC to 5V, buck converter, Monolythic Power</t>
  </si>
  <si>
    <t>$.66, 80% efficient at 1mA output, 5Vout</t>
  </si>
  <si>
    <t>internal vReg</t>
  </si>
  <si>
    <t>Ref bd:</t>
  </si>
  <si>
    <t>* Ref Bd says 14mW quesient with 5Vout and 110VAC input, and 24mW with 220VAC</t>
  </si>
  <si>
    <t>http://www.ti.com/lit/an/slua905/slua905.pdf</t>
  </si>
  <si>
    <t>http://www.ti.com/lit/an/slua821/slua821.pdf</t>
  </si>
  <si>
    <t>App Note: "Operating UCC2888x Offline Buck in Saturation for Cost Reduction"</t>
  </si>
  <si>
    <t>App Note: "UCC28880, UCC28881 Audible Noise Reduction Techniques &amp; theory of operation"</t>
  </si>
  <si>
    <t>TI #Ucc28880 -- 700VDC to 5VDC buck converter, Efficient if you play with components and optimize, requires external vReg IC, $0.65</t>
  </si>
  <si>
    <t>Ref Bd Pdf says 14mW quiesent w/ no load (5Vout)</t>
  </si>
  <si>
    <t>5Vout fixed voltage</t>
  </si>
  <si>
    <t>http://sim.okawa-denshi.jp/en/RLClowkeisan.htm</t>
  </si>
  <si>
    <t>C (uF)</t>
  </si>
  <si>
    <t>L (uH)</t>
  </si>
  <si>
    <t>R (ohms)</t>
  </si>
  <si>
    <t>Fc (Hz)</t>
  </si>
  <si>
    <t>Fc = 1 / (6.28 * L * C)</t>
  </si>
  <si>
    <t>https://www.digikey.com/products/en/inductors-coils-chokes/fixed-inductors/71?FV=ffe00047%2C1f140000%2Cmu470%C2%B5H%7C2087&amp;quantity=0&amp;ColumnSort=1000011&amp;page=1&amp;pageSize=25</t>
  </si>
  <si>
    <t>https://www.digikey.com/product-detail/en/taiyo-yuden/CB2518T471K/587-2194-2-ND/2002809</t>
  </si>
  <si>
    <t>List: SMT, 1mH, sort by price, Inductor, smt</t>
  </si>
  <si>
    <t>List: SMT, 470uH, sort by price, Inductor</t>
  </si>
  <si>
    <t>Inductor, $0.07, 470uH, 13ohms, 120mA max, 35mA saturation, 1007, #CB2518T471K</t>
  </si>
  <si>
    <t>https://www.digikey.com/products/en/inductors-coils-chokes/fixed-inductors/71?FV=ffe00047%2Cmu1mH%7C2087&amp;quantity=0&amp;ColumnSort=1000011&amp;page=1&amp;pageSize=25</t>
  </si>
  <si>
    <t>https://www.digikey.com/product-detail/en/taiyo-yuden/CBC3225T102KR/587-3214-2-ND/3195011</t>
  </si>
  <si>
    <t>Inductor, $0.10, 1mH, 13ohms, 100mA max, 100mA saturation, 1210, #CBC3225T102KR,  3.20x2.50mm</t>
  </si>
  <si>
    <t>RLC Filter</t>
  </si>
  <si>
    <t>Design Tool:</t>
  </si>
  <si>
    <t>https://www.poweresim.com/</t>
  </si>
  <si>
    <t>PowerSim Design Software</t>
  </si>
  <si>
    <t>Power Application Notes</t>
  </si>
  <si>
    <t>http://www.ti.com/product/SN6501/technicaldocuments</t>
  </si>
  <si>
    <t>Isolated Power Supplies (i.e. via transformer)</t>
  </si>
  <si>
    <t>https://www.allaboutcircuits.com/textbook/alternating-current/chpt-10/single-phase-power-systems/</t>
  </si>
  <si>
    <t>Single-phase Power Systems</t>
  </si>
  <si>
    <t>https://www.allaboutcircuits.com/textbook/alternating-current/</t>
  </si>
  <si>
    <t>Online Power Electronics Textbook</t>
  </si>
  <si>
    <t>110/220VAC</t>
  </si>
  <si>
    <t>https://www.st.com/en/power-management.html</t>
  </si>
  <si>
    <t>ST Microelectronics</t>
  </si>
  <si>
    <t>https://www.st.com/content/st_com/en/products/power-management/ac-dc-converters.html#edesign-suite</t>
  </si>
  <si>
    <t>Power Products</t>
  </si>
  <si>
    <t>eDesignSuite software</t>
  </si>
  <si>
    <t>https://en.m.wikipedia.org/wiki/Mains_electricity</t>
  </si>
  <si>
    <t>110/220VAC Power System</t>
  </si>
  <si>
    <t>Mains electricity (power grid)</t>
  </si>
  <si>
    <t>https://en.m.wikipedia.org/wiki/Ground_and_neutral</t>
  </si>
  <si>
    <t>Ground and neutral</t>
  </si>
  <si>
    <t xml:space="preserve"> * Full Bridge will not work since Device Common goes negative w.r.t. EarthGnd, which causes data+- transcievers common mode voltage to go out of range.</t>
  </si>
  <si>
    <t xml:space="preserve"> * Half Bridge will not work since Neutral to CircuitCommon diode is off when sine is in negative cycle, and then you loose common mode sense for data+- transcieivers.</t>
  </si>
  <si>
    <t xml:space="preserve"> * Quarter Bridge is ok. This entails one diode between Neutral and non-isolated power supply Common.</t>
  </si>
  <si>
    <t xml:space="preserve"> * Neutral is connected directly to device Common, and is used to establish common mode voltage for data+- transcievers.  </t>
  </si>
  <si>
    <t>Power and</t>
  </si>
  <si>
    <t>Data Strategy</t>
  </si>
  <si>
    <t>110/220VAC Power and Data Strategy</t>
  </si>
  <si>
    <t xml:space="preserve"> * Switching current by loads along Neutral wire will be seen as common mode voltage on data+- and needs to be rejected by differential data+- receivers.</t>
  </si>
  <si>
    <t xml:space="preserve"> * We do not connect EarthGnd to our Device common since that will put return current on EarthGnd from all loads attached to wire, and we want EarthGnd to carry no current and only be used for safety and emi shield (connect EarthGnd to case)</t>
  </si>
  <si>
    <t xml:space="preserve"> * If electrician does not wire Neutral wire correctly, our system fails.</t>
  </si>
  <si>
    <t>TI Reference:</t>
  </si>
  <si>
    <t xml:space="preserve">https://www.st.com/content/ccc/resource/technical/document/datasheet/group3/24/8d/24/75/a4/df/46/a8/DM00255197/files/DM00255197.pdf/jcr:content/translations/en.DM00255197.pdf </t>
  </si>
  <si>
    <t>VIPer01</t>
  </si>
  <si>
    <t>Design Reports</t>
  </si>
  <si>
    <t>https://www.st.com/en/power-management/viper01.html</t>
  </si>
  <si>
    <t>https://my.st.com/content/ccc/resource/technical/document/data_brief/group2/7a/e0/32/14/10/3a/4d/e9/DM00618683/files/DM00618683.pdf/jcr:content/translations/en.DM00618683.pdf</t>
  </si>
  <si>
    <t>1.2mA quiesent, 10 to 20mW no load 230VAC</t>
  </si>
  <si>
    <t>R-series</t>
  </si>
  <si>
    <t>(volts)</t>
  </si>
  <si>
    <t>(Amps)</t>
  </si>
  <si>
    <t>(Watts)</t>
  </si>
  <si>
    <t>File "TiWebBench Design Report, UCC28730DR, 220VAC to 5V@10mA.pdf"</t>
  </si>
  <si>
    <t>File "VIPer01, 85-265VAC, 5V, 1-4-16mA.xlsx"</t>
  </si>
  <si>
    <t>https://my.st.com/analogsimulator/flex_app/bin/smps_app_acdc_design.html?msg=%7B%22data%22%3A%7B%22application%22%3A%22acdc%22%2C%22specs%22%3A%7B%22ic%22%3A%22viper011xs%3Abuck%22%2C%22input%22%3A%7B%22v%22%3A%7B%22min%22%3A85%2C%22max%22%3A265%7D%2C%22f%22%3A50%7D%2C%22output%22%3A%5B%7B%22v%22%3A5%2C%22r%22%3A2%2C%22i%22%3A0.016%7D%5D%7D%7D%2C%22action%22%3A%22new_design%22%7D</t>
  </si>
  <si>
    <t>eDesignSuite software:</t>
  </si>
  <si>
    <t>List: SMT, 1206, 10V, 47uF, sort by price</t>
  </si>
  <si>
    <t>https://www.digikey.com/products/en/capacitors/ceramic-capacitors/60?FV=ffe0003c%2C380004%2C400007%2C400008%2Cmu47%C2%B5F%7C2049&amp;quantity=0&amp;ColumnSort=1000011&amp;page=1&amp;pageSize=25</t>
  </si>
  <si>
    <t>47uF, 1206, 10V, $0.18, #CL31A476MPHNNNE</t>
  </si>
  <si>
    <t>https://www.digikey.com/products/en/capacitors/ceramic-capacitors/60?k=&amp;pkeyword=&amp;sv=0&amp;pv16=6&amp;sf=1&amp;FV=380014%2Cmu0.33%C2%B5F%7C2049%2Cffe0003c&amp;quantity=&amp;ColumnSort=1000011&amp;page=1&amp;pageSize=25</t>
  </si>
  <si>
    <t>List: SMT, 0805, 25V, 0.33uF, sort by price</t>
  </si>
  <si>
    <t>Capacitors, &gt; 100V</t>
  </si>
  <si>
    <t>Capacitors, &lt;= 100V</t>
  </si>
  <si>
    <t>https://www.digikey.com/product-detail/en/samsung-electro-mechanics/CL21B334KAFNNNE/1276-1808-2-ND/3887466</t>
  </si>
  <si>
    <t>Inductors, &lt;= 100uH</t>
  </si>
  <si>
    <t>Inductors, &gt; 100uH</t>
  </si>
  <si>
    <t>https://www.digikey.com/products/en/inductors-coils-chokes/fixed-inductors/71?k=&amp;pkeyword=&amp;sv=0&amp;pv80=8&amp;sf=0&amp;FV=1f140000%2Cmu1mH%7C2087%2Cmu150mA%7C2088%2Cmu156mA%7C2088%2Cmu160mA%7C2088%2Cmu170mA%7C2088%2Cmu172mA%7C2088%2Cmu180mA%7C2088%2Cmu190mA%7C2088%2Cmu200mA%7C2088%2Cffe00047&amp;quantity=&amp;ColumnSort=1000011&amp;page=1&amp;pageSize=25</t>
  </si>
  <si>
    <t>List: SMT, 1mH, &gt;= 150mA max, shielded, sort by price, Inductor, smt</t>
  </si>
  <si>
    <t>Inductor, $0.10, 1mH, 13ohms, 100mA max, 100mA saturation, 1210, NotShielded, #CBC3225T102KR,  3.20x2.50mm</t>
  </si>
  <si>
    <t>https://www.digikey.com/product-detail/en/bourns-inc/SRR7032-102M/SRR7032-102MTR-ND/1970417</t>
  </si>
  <si>
    <t>Inductor, $0.31, 1mH, 5ohms, 150mA max, 140mA saturation, 7x7mm, Shielded, #SRR7032-102M</t>
  </si>
  <si>
    <t>https://www.digikey.com/products/en/capacitors/ceramic-capacitors/60?k=&amp;pkeyword=&amp;sv=0&amp;pv69=453&amp;sf=0&amp;FV=38001f%2Cmu0.1%C2%B5F%7C2049%2Cmu0.12%C2%B5F%7C2049%2Cmu0.15%C2%B5F%7C2049%2Cmu0.18%C2%B5F%7C2049%2Cmu0.2%C2%B5F%7C2049%2Cmu0.22%C2%B5F%7C2049%2Cffe0003c%2C1c0001%2C1f140000&amp;quantity=&amp;ColumnSort=1000011&amp;page=1&amp;pageSize=25</t>
  </si>
  <si>
    <t>List: 0.1 to 0.22uF, 500V, smt, ceramic</t>
  </si>
  <si>
    <t>https://www.digikey.com/product-detail/en/kemet/C1210C104KCRACTU/399-6747-2-ND/3084015</t>
  </si>
  <si>
    <t>Capacitor, 500VDC, 0.1uF, $0.11, 1210, #C1210C104KCRACTU</t>
  </si>
  <si>
    <t>https://www.digikey.com/product-detail/en/kemet/C1210C154KCRAC7800/399-13485-2-ND/6097305</t>
  </si>
  <si>
    <t>Capacitor, 500VDC, 0.15uF, $0.13, 1210, #C1210C154KCRAC7800</t>
  </si>
  <si>
    <t>https://www.digikey.com/product-detail/en/samsung-electro-mechanics/CL21B104KACNFNC/1276-2442-2-ND/3888100</t>
  </si>
  <si>
    <t>0.33uF, 0805, 25V, $0.03, 125C, #CL21B334KAFNNNE</t>
  </si>
  <si>
    <t>List: SMT, 0805, 25V, 0.1uF, sort by price</t>
  </si>
  <si>
    <t>0.1uF, 0805, 25V, $0.01, 125C, #CL21B104KACNFNC</t>
  </si>
  <si>
    <t>https://www.digikey.com/products/en/capacitors/ceramic-capacitors/60?FV=1c0001%2C380020%2C1f140000%2Cmu0.1%C2%B5F%7C2049%2Cffe0003c%2C11401c5&amp;quantity=0&amp;ColumnSort=1000011&amp;page=1&amp;pageSize=25</t>
  </si>
  <si>
    <t>List: SMT, 50V, 0.1uF, sort by price, Capacitor</t>
  </si>
  <si>
    <t>https://www.digikey.com/product-detail/en/samsung-electro-mechanics/CL21B104KBCNNND/CL21B104KBCNNND-ND/3894459</t>
  </si>
  <si>
    <t>0.1uF, 0805, 50V, $0.01, 125C, #CL21B104KBCNNND</t>
  </si>
  <si>
    <t xml:space="preserve">DESIGN: Efficient Buck Converter Power Supply  -- Output: 5V/16mA,  Input: 85 to 265VAC, Buck Converter </t>
  </si>
  <si>
    <t>Entire Circuit</t>
  </si>
  <si>
    <t>Vin (VAC)</t>
  </si>
  <si>
    <t>Iout (mA)</t>
  </si>
  <si>
    <t>Efficiency</t>
  </si>
  <si>
    <t>Ro (ohms)</t>
  </si>
  <si>
    <t>Lo (uH)</t>
  </si>
  <si>
    <t>Cin1 (uF)</t>
  </si>
  <si>
    <t>Cin2 (uF)</t>
  </si>
  <si>
    <t>L (mH)</t>
  </si>
  <si>
    <t>Cout (uF)</t>
  </si>
  <si>
    <t>Cvdd (uF)</t>
  </si>
  <si>
    <t>C4 (uF)</t>
  </si>
  <si>
    <t>0.1 - 0.2</t>
  </si>
  <si>
    <t>eDesignSuite Design Report</t>
  </si>
  <si>
    <t>VIPer01:</t>
  </si>
  <si>
    <t>I in Pk (design report)</t>
  </si>
  <si>
    <t>Across R</t>
  </si>
  <si>
    <t>Buck Converter IC, 1.2mA quiesent, 10 to 20mW no load 230VAC, internal vReg, $0.36</t>
  </si>
  <si>
    <t xml:space="preserve">V. Across </t>
  </si>
  <si>
    <t>Half Sine Vpp</t>
  </si>
  <si>
    <t>Capacitors, Safety</t>
  </si>
  <si>
    <t>https://www.digikey.com/product-detail/en/bourns-inc/MOV-07D471KTR/MOV-07D471KTRTR-ND/2407594</t>
  </si>
  <si>
    <t>Buck converter IC supports &lt; 800Vin, varistor clamp turns on between 423V and 517V, excess voltage dropped across 100ohm resistor</t>
  </si>
  <si>
    <t>https://www.mouser.com/ProductDetail/Vishay-BC-Components/BFC233920104?qs=sGAEpiMZZMu3dWSqd4Tl0JEUkSUKlzz6mPgZ06eJw8I%3D</t>
  </si>
  <si>
    <t>List: 0.1 to 0.22uF, 630V, smt, ceramic</t>
  </si>
  <si>
    <t>https://www.mouser.com/Passive-Components/Capacitors/Ceramic-Capacitors/_/N-5g8m?P=1yx4awuZ1yp7zip&amp;Rl=5g8mZer3vZ1z0wqusZ1z0wquaSGT&amp;Ns=Pricing|0</t>
  </si>
  <si>
    <r>
      <t xml:space="preserve">List: 100ohm, 0.5Watt, </t>
    </r>
    <r>
      <rPr>
        <sz val="11"/>
        <color rgb="FFFF0000"/>
        <rFont val="Calibri"/>
        <family val="2"/>
        <scheme val="minor"/>
      </rPr>
      <t>SMT</t>
    </r>
    <r>
      <rPr>
        <sz val="11"/>
        <color theme="1"/>
        <rFont val="Calibri"/>
        <family val="2"/>
        <scheme val="minor"/>
      </rPr>
      <t>, Resistor</t>
    </r>
  </si>
  <si>
    <t>https://www.digikey.com/products/en/resistors/chip-resistor-surface-mount/52?FV=mu100+Ohms%7C2085%2Cffe00034%2C80005&amp;quantity=0&amp;ColumnSort=1000011&amp;page=1&amp;k=resistor&amp;pageSize=25&amp;pkeyword=resistor</t>
  </si>
  <si>
    <t>Varistor, $0.07, 40J, 2.3KA, 7mm disc, 300VAC 385VDC working, 1mA @ 423 ... 517V, 10A @775V,  #MOV-07D471KTR</t>
  </si>
  <si>
    <t>Filter Series Resistor 1</t>
  </si>
  <si>
    <t>Filter Series Resistor 2</t>
  </si>
  <si>
    <t>buck converter quiesent power, datasheet</t>
  </si>
  <si>
    <t xml:space="preserve"> &gt; this does not model the 200 ohms of input series resistance (we add that)</t>
  </si>
  <si>
    <t>Buck IC</t>
  </si>
  <si>
    <t>Buck In</t>
  </si>
  <si>
    <t>(VDC)</t>
  </si>
  <si>
    <t>Buck Inpt</t>
  </si>
  <si>
    <t>Input Circuit</t>
  </si>
  <si>
    <t>1/4 Bridge Rectifier</t>
  </si>
  <si>
    <t>Filter Line Spikes</t>
  </si>
  <si>
    <t>Resistor: 50ohms, 1206, 0.5W, ceramic, $0.01, #ERJ-P06J500V</t>
  </si>
  <si>
    <t>https://www.digikey.com/product-detail/en/stackpole-electronics-inc/RNCP1206FTD49R9/RNCP1206FTD49R9TR-ND/2240310</t>
  </si>
  <si>
    <t>Resistor: 50ohms, 1206, 0.5W, thin film, moisture resist, $0.01, #RNCP1206FTD49R9</t>
  </si>
  <si>
    <t>Monolythic Power Inc, Design Tools</t>
  </si>
  <si>
    <t>Kemet Capacitor Calculator</t>
  </si>
  <si>
    <t>http://ksim.kemet.com/Plots/SpicePlots.aspx</t>
  </si>
  <si>
    <t>Capacitor Design Tool</t>
  </si>
  <si>
    <t>Inpt mA</t>
  </si>
  <si>
    <t>If protection varistor turns on, then R-series vDrop goes up</t>
  </si>
  <si>
    <t>Emissions Filter Capacitance</t>
  </si>
  <si>
    <t>Emissions</t>
  </si>
  <si>
    <t>Cap uF</t>
  </si>
  <si>
    <t>Input Fltr</t>
  </si>
  <si>
    <t>TC (uSec)</t>
  </si>
  <si>
    <t>RC Filter that Filters Incoming Spikes from Power Line</t>
  </si>
  <si>
    <t>https://www.digikey.com/products/en/capacitors/ceramic-capacitors/60?FV=380002%2Cmu1%C2%B5F%7C2049%2Cffe0003c%2C11401c5&amp;quantity=0&amp;ColumnSort=1000011&amp;page=1&amp;pageSize=25</t>
  </si>
  <si>
    <t>List: SMT, 100V, 1uF, sort by price, Capacitor</t>
  </si>
  <si>
    <t>1uF, 1210, 100V, X7R, $0.08, 0.2ohm ESR @ 10KHz,  #CL32B105KCJNNWE</t>
  </si>
  <si>
    <t>Capacitor, 630VDC, 0.1uF, $0.11, 1210, ceramic, x7R, 5ohm ESR @ 10KHz, #C1210C104KBRACTU</t>
  </si>
  <si>
    <t>Varistor, $0.10, 8J, .5A, 10mm disc, 40VAC 56VDC working, 1mA @ 61 ... 75V, 10A @ 135V,  #MOV-10D680K</t>
  </si>
  <si>
    <t>Varistor, $0.09, 4J, .5A, 10mm disc, 20VAC 26VDC working, 1mA @ 30 ... 36V, 10A @ 65V,  #MOV-10D330K</t>
  </si>
  <si>
    <t>Varistor</t>
  </si>
  <si>
    <t>Max V</t>
  </si>
  <si>
    <t>Min V</t>
  </si>
  <si>
    <t>Working V</t>
  </si>
  <si>
    <t>Max Voltage Across Blocking Diode</t>
  </si>
  <si>
    <t>Diode</t>
  </si>
  <si>
    <t>varistor clamp voltage with 10A across Varistor</t>
  </si>
  <si>
    <t>https://www.digikey.com/product-detail/en/micro-commercial-co/US2Q-TP/US2Q-TPMSTR-ND/10054731</t>
  </si>
  <si>
    <t>https://www.digikey.com/products/en/discrete-semiconductor-products/diodes-rectifiers-single/280?FV=mu1200V%7C2071%2Cmu1250V%7C2071%2Cmu1300V%7C2071%2Cmu1400V%7C2071%2Cmu1500V%7C2071%2Cffe00118%2C23c00eb&amp;quantity=0&amp;ColumnSort=1000011&amp;page=1&amp;k=diode&amp;pageSize=25&amp;pkeyword=diode</t>
  </si>
  <si>
    <t>List: SMT: 1200V .. 1500KV, sort by price, &lt;= 500nSec recovery</t>
  </si>
  <si>
    <t>Diode: 2A/1200V, 1.8Vf @ 2A, 5uA@1200Vr, $0.07, 100nSec, DO-214AA (5x4mm), #US2Q-TP</t>
  </si>
  <si>
    <t>Buck Input Cap</t>
  </si>
  <si>
    <t>Buck Input Cap Drooping</t>
  </si>
  <si>
    <t>Emissions RLC Filter</t>
  </si>
  <si>
    <t>https://www.digikey.com/products/en/inductors-coils-chokes/fixed-inductors/71?k=inductor&amp;k=&amp;pkeyword=inductor&amp;sv=0&amp;umin2088=80&amp;umax2088=200&amp;rfu2088=mA&amp;sf=1&amp;FV=1140003%2C1f140000%2Cmu10mH%7C2087%7C1%2Cmu2.2mH%7C2087%7C0%2Cffe00047&amp;quantity=&amp;ColumnSort=1000011&amp;page=1&amp;pageSize=25</t>
  </si>
  <si>
    <t>List: SMT, 2.2 .. 10mH, &gt;= 80mA max, sort by price, Inductor, smt</t>
  </si>
  <si>
    <t>https://www.digikey.com/product-detail/en/bourns-inc/SDR1005-103KL/SDR1005-103KLTR-ND/1129701</t>
  </si>
  <si>
    <t>Inductor, $0.30, 10mH, 39ohms, 100mA max, 110mA saturation, 13x10mm, Unshielded, #SDR1005-103KL</t>
  </si>
  <si>
    <t>https://www.digikey.com/product-detail/en/bourns-inc/SDR1006-472KL/SDR1006-472KLTR-ND/2352827</t>
  </si>
  <si>
    <t>https://www.digikey.com/products/en/capacitors/ceramic-capacitors/60?FV=1c0001%2C380001%2C380475%2C3800cf%2C380018%2C38010c%2Cmu0.1%C2%B5F%7C2049%2Cmu0.12%C2%B5F%7C2049%2Cmu0.14%C2%B5F%7C2049%2Cmu0.15%C2%B5F%7C2049%2Cmu0.16%C2%B5F%7C2049%2Cmu0.18%C2%B5F%7C2049%2Cmu0.2%C2%B5F%7C2049%2Cmu0.22%C2%B5F%7C2049%2Cmu0.25%C2%B5F%7C2049%2Cmu0.27%C2%B5F%7C2049%2Cmu0.3%C2%B5F%7C2049%2Cmu0.33%C2%B5F%7C2049%2Cmu0.39%C2%B5F%7C2049%2Cmu0.47%C2%B5F%7C2049%2Cmu0.5%C2%B5F%7C2049%2Cmu0.56%C2%B5F%7C2049%2Cmu0.68%C2%B5F%7C2049%2Cmu0.75%C2%B5F%7C2049%2Cmu1%C2%B5F%7C2049%2Cffe0003c%2C1f140000&amp;quantity=0&amp;ColumnSort=1000011&amp;page=1&amp;pageSize=25</t>
  </si>
  <si>
    <t>List: 0.1 to 10uF, 630V to 1KV, smt, ceramic</t>
  </si>
  <si>
    <t>https://www.digikey.com/product-detail/en/tdk-corporation/C4532X7R2J104K230KE/445-173662-2-ND/5809227</t>
  </si>
  <si>
    <t>Capacitor: 0.22uF, 1812 (4.5x3mm), 630V, $.31, #C4532X7R2J104K230KE</t>
  </si>
  <si>
    <t>https://www.digikey.com/product-detail/en/kemet/C1210C104KBRAC7800/399-13490-2-ND/6126195</t>
  </si>
  <si>
    <t>Capacitor: 0.10uF, 1210, 630V, $.13, #C1210C104KBRAC7800</t>
  </si>
  <si>
    <t xml:space="preserve">Inductor, $0.10, 1mH, 13ohms, 100mA max, 100mA saturation, 1210, #CBC3225T102KR,  3.20x2.50mmALTERNATE: </t>
  </si>
  <si>
    <t>https://electronicscoach.com/pi-filter.html#targetText=Pi%20Filter,is%20directly%20given%20across%20capacitor.</t>
  </si>
  <si>
    <t>http://www.ti.com/lit/an/snva538/snva538.pdf</t>
  </si>
  <si>
    <t>Application Notes</t>
  </si>
  <si>
    <t>Input Filter Design for Switching Power Supplies</t>
  </si>
  <si>
    <t>PI Filter</t>
  </si>
  <si>
    <t>Inductor, $0.32, 4.7mH, 18ohms, 100mA max, 240mA saturation, 10x10mm, Unshielded, #SDR1005-103KL</t>
  </si>
  <si>
    <t>Inductor</t>
  </si>
  <si>
    <t>Efficient Buck Converter, #VIPer011XS, &lt;800Vin, 1.2mA quiesent, $0.36, 10-SOP (4x4mm)</t>
  </si>
  <si>
    <t>https://www.st.com/en/power-management/viper11.html</t>
  </si>
  <si>
    <t>7  low cost 0603 parts</t>
  </si>
  <si>
    <t>Conclusion</t>
  </si>
  <si>
    <t>In theory, one can turn on 110/220VAC when it is below &lt; X volts, where X is in the range of 12V, and then have this</t>
  </si>
  <si>
    <t>and then run this through a 5V LDO. Since we are not switching, emissions is low, and therefore components</t>
  </si>
  <si>
    <t>are deficient for a variety of reasons. We need one that supports 800Vin without damage (so that a varistor that draws 10A at 775V can protect it,</t>
  </si>
  <si>
    <t>to filter emissions are not necessary. There are several parts that are similar to what we need (e.g. #Sr087,  #MP100L,  #MP103), yet</t>
  </si>
  <si>
    <t xml:space="preserve">it pass X volts where X is set with 1 or 2 resistors, and its quiestent power is low when outputting 1mA/5V to a sleeping processor (which is most of the time). </t>
  </si>
  <si>
    <t>This would allow us to work with low voltage components, to reduce cost.</t>
  </si>
  <si>
    <t>Simulation: "glenn..\GWI\gwi_Dev\Protel Simulations\Protel Dxp Simulations\Manhattan2 DXP Simulations\Ma2 Power Supply DXP Simulations\265VAC to 5V-16mA Power Supply Sim"</t>
  </si>
  <si>
    <t>Protection, R-series</t>
  </si>
  <si>
    <t>Resistor/Fuse: 10ohm, 3W, $0.16, Flame/Safety, 13x6mm, Thru Hole, #AC03000001009JACCS, recommended by Ti 6 reference designs</t>
  </si>
  <si>
    <t>TI Reference Design: #V14E320P, varistor, thru hole, 136J, 510V typ, 14mm disc, $.21</t>
  </si>
  <si>
    <t>https://www.digikey.com/product-detail/en/panasonic-electronic-components/ERZ-E11F471/ERZ-E11F471-ND/4209690</t>
  </si>
  <si>
    <t>Varistor, $0.13, 170J, 6KA, 13mm disc, 300VAC 385VDC working, 1mA @ 423 ... 517V, 50A @775V,  #ERZ-E11F471</t>
  </si>
  <si>
    <t>List: SMT, 25V, 22uF, sort by price</t>
  </si>
  <si>
    <t>https://www.digikey.com/products/en/capacitors/ceramic-capacitors/60?FV=1c0001%2C380014%2C1f140000%2Cmu22%C2%B5F%7C2049%2Cffe0003c%2C11401c5&amp;quantity=0&amp;ColumnSort=1000011&amp;page=1&amp;pageSize=25</t>
  </si>
  <si>
    <t>https://www.digikey.com/product-detail/en/samsung-electro-mechanics/CL32A226KAJNNNE/1276-1101-2-ND/3886759</t>
  </si>
  <si>
    <t>22uF, 1210, 25V, $0.14, X5R, 85C, #CL32A226KAJNNNE</t>
  </si>
  <si>
    <t>CUSTOM IC</t>
  </si>
  <si>
    <t>Custom IC (&lt; 800Vin, &lt; 10mW quiesent w/ no load, threshold set with 1 or 2 external resistors, contains internal switch)</t>
  </si>
  <si>
    <t>Cap before vReg IC</t>
  </si>
  <si>
    <t>vReg IC</t>
  </si>
  <si>
    <t>https://www.digikey.com/product-detail/en/diodes-incorporated/AP7381-50Y-13/AP7381-50Y-13DITR-ND/7914855</t>
  </si>
  <si>
    <t>Voltage Regulator, LDO, &lt;40Vin, 5Vout, 25uA quiesent, 1Vdrop @ 100mA, $0.10, SOT89 (5x4mm), #AP7381-50Y-13</t>
  </si>
  <si>
    <t xml:space="preserve"> &gt; This circuit is not designed to handle 48VDC input, only 110/220VAC input</t>
  </si>
  <si>
    <t>85 to 265VAC</t>
  </si>
  <si>
    <t>Custom IC passes 110/220VAC to drooping capacitor, when input is &lt; X Volts</t>
  </si>
  <si>
    <t>Custom IC supports &lt; 800Vin, varistor clamp turns on between 423V and 517V, excess voltage dropped across 10ohm resistor</t>
  </si>
  <si>
    <t>https://www.digikey.com/product-detail/en/samsung-electro-mechanics/CL32A226KOJNNNF/CL32A226KOJNNNF-ND/3894768</t>
  </si>
  <si>
    <t>22uF, 1210, 16V, $0.08, X5R, 85C, #CL32A226KOJNNNF</t>
  </si>
  <si>
    <t>Input Capacitor</t>
  </si>
  <si>
    <t>List: SMT, 16V, 10uF, sort by price</t>
  </si>
  <si>
    <t>List: SMT, 25V, 10uF, sort by price</t>
  </si>
  <si>
    <t>https://www.digikey.com/product-detail/en/samsung-electro-mechanics/CL31B106KOHNNNF/CL31B106KOHNNNF-ND/3894675</t>
  </si>
  <si>
    <t>https://www.digikey.com/products/en/capacitors/ceramic-capacitors/60?FV=ffe0003c%2C380009%2C1f140000%2Cmu10%C2%B5F%7C2049&amp;quantity=0&amp;ColumnSort=1000011&amp;page=1&amp;pageSize=25</t>
  </si>
  <si>
    <t>10uF, 1206, 16V, $0.03, X7R, 125C, #CL31B106KOHNNNF</t>
  </si>
  <si>
    <t>https://www.digikey.com/product-detail/en/samsung-electro-mechanics/CL31B106KAHNNNE/1276-1804-2-ND/3887462</t>
  </si>
  <si>
    <t>https://www.digikey.com/products/en/capacitors/ceramic-capacitors/60?k=&amp;pkeyword=&amp;sv=0&amp;pv14=20&amp;sf=0&amp;FV=1f140000%2Cmu10%C2%B5F%7C2049%2Cffe0003c&amp;quantity=&amp;ColumnSort=1000011&amp;page=1&amp;pageSize=25</t>
  </si>
  <si>
    <t>10uF, 1206, 25V, $0.05, X7R, 125C, #CL31B106KAHNNNE</t>
  </si>
  <si>
    <t>Summary</t>
  </si>
  <si>
    <t xml:space="preserve">We look at several tiny power supplies that provide 5V for a tiny processor. </t>
  </si>
  <si>
    <t>We assume processor requires 1mA while sleeping and then 4 to 16mA while working, depending on the circuit.</t>
  </si>
  <si>
    <t xml:space="preserve"> * low cost and low pcb space</t>
  </si>
  <si>
    <t xml:space="preserve"> * significant protection against overvoltaged input power, and EMI emissions</t>
  </si>
  <si>
    <t xml:space="preserve"> * no electrolytic capacitors, to improve lifespan</t>
  </si>
  <si>
    <t>Requirements</t>
  </si>
  <si>
    <t>Parts Costs ($)</t>
  </si>
  <si>
    <t>IC Surface Area, mm^2</t>
  </si>
  <si>
    <t>Expected PCB (sq in)</t>
  </si>
  <si>
    <t>Input</t>
  </si>
  <si>
    <t>Drop input voltage across low drop out linear regulator (LDO)</t>
  </si>
  <si>
    <t>Efficient buck converter (e.g. #MP4569)</t>
  </si>
  <si>
    <t xml:space="preserve">   7 to 26 VDC</t>
  </si>
  <si>
    <t xml:space="preserve">   85 to 265 VAC</t>
  </si>
  <si>
    <t>Efficient DC-to-DC buck converter (e.g. #MP4569)</t>
  </si>
  <si>
    <t>Efficient AC-to-DC buck converter (e.g. #VIPer011)</t>
  </si>
  <si>
    <t xml:space="preserve">   85 to 265 VAC, 6 to 15 VDC</t>
  </si>
  <si>
    <t>We calculate efficiences as follows:</t>
  </si>
  <si>
    <t xml:space="preserve">   fan motor Triac on/off control, variable speed fan motor control, and stepper motor control.</t>
  </si>
  <si>
    <t>Typical devices include: LED dimmer controller (on/off/dimmer), temperature sensor, wall switch interface,</t>
  </si>
  <si>
    <t>Power supply design requirements are:</t>
  </si>
  <si>
    <t xml:space="preserve"> * good efficiency, especially while sleeping</t>
  </si>
  <si>
    <t xml:space="preserve"> * 5V regulated output, non-isoloated, 1mA load 99% of the time while sleeping, 4mA to 16mA load while working</t>
  </si>
  <si>
    <t>https://www.mouser.com/ProductDetail/KEMET/R49AN32205001K?qs=sGAEpiMZZMu3dWSqd4Tl0BOe%2F1hjKbRFLactZX1Wc%252B8%3D</t>
  </si>
  <si>
    <t>maximum droop amount at intermediate capacitor (over 15msec)</t>
  </si>
  <si>
    <t>(mA)</t>
  </si>
  <si>
    <t>7VDC to 56VDC</t>
  </si>
  <si>
    <t xml:space="preserve">DESIGN: Efficient Buck Converter Power Supply  -- Output: 5V/16mA,  Input: 7VDC to 56VDC, Buck Converter </t>
  </si>
  <si>
    <t>buck Input Cap</t>
  </si>
  <si>
    <t>Conclusion: blocking diode should be rated for &gt; 1200 VDC</t>
  </si>
  <si>
    <t>ON mA</t>
  </si>
  <si>
    <t>NOTE: Datasheet says you can overvoltage 120% for short duration (630*120=756, Dielectric Withstanding Voltage, DWV, 5seconds, &lt; 50mA)</t>
  </si>
  <si>
    <t>Current flows 20% of the time (4mSec out of 20mSec)</t>
  </si>
  <si>
    <r>
      <t xml:space="preserve">ALTERNATE:Inductor, $0.30, </t>
    </r>
    <r>
      <rPr>
        <sz val="11"/>
        <color rgb="FFFF0000"/>
        <rFont val="Calibri"/>
        <family val="2"/>
        <scheme val="minor"/>
      </rPr>
      <t>10mH</t>
    </r>
    <r>
      <rPr>
        <sz val="11"/>
        <color theme="1"/>
        <rFont val="Calibri"/>
        <family val="2"/>
        <scheme val="minor"/>
      </rPr>
      <t>, 39ohms, 100mA max, 110mA saturation, 13x10mm, Unshielded, #SDR1005-103KL</t>
    </r>
  </si>
  <si>
    <t>2mA Sleeping:</t>
  </si>
  <si>
    <t>16mA working:</t>
  </si>
  <si>
    <t xml:space="preserve">   7 to 56 VDC</t>
  </si>
  <si>
    <t>Capacitor, 800VDC, Safety, 0.22uF, $0.34, 26x7mm, 16mm H, #R49AN32205001K</t>
  </si>
  <si>
    <t>Capacitor, 275VAC, 560VDC working, Safety, 0.1uF, $0.10, 18x5mm, 11mm H, #R46KI3100JEM1K</t>
  </si>
  <si>
    <t>Capacitor, 310VAC, 630VDC @ 85C, 800VDC @ 100C, Safety, 0.1uF, $0.14, 12x6mm, 11mm H, #BFC233920104</t>
  </si>
  <si>
    <t>https://www.infineon.com/cms/en/tools/</t>
  </si>
  <si>
    <t>Infineon Power Supply Design Software</t>
  </si>
  <si>
    <t>Simulation</t>
  </si>
  <si>
    <t>C:\Users\glenn\Documents\Manhattan2\projects\Tiny Power Supply Design &amp; Article\Power Supply Design Reports\ST Micro\VIPer01\SIMULATION - VIPer01, 85-265VAC, 5V, 1-4-16mA -- SCHEMATIC.pdf</t>
  </si>
  <si>
    <t>C:\Users\glenn\Documents\Manhattan2\projects\Tiny Power Supply Design &amp; Article\Power Supply Design Reports\ST Micro\VIPer01\SIMULATION - VIPer01, 85-265VAC, 5V, 1-4-16mA -- WAVEFORMS.pdf</t>
  </si>
  <si>
    <t>Schematic</t>
  </si>
  <si>
    <t>Waveforms</t>
  </si>
  <si>
    <t>5V Load, mA</t>
  </si>
  <si>
    <t>5V Load</t>
  </si>
  <si>
    <t>1mA 5V Load</t>
  </si>
  <si>
    <t>4mA 5V Load</t>
  </si>
  <si>
    <t>16mA 5V Load</t>
  </si>
  <si>
    <t>floor surface area</t>
  </si>
  <si>
    <t>% of floor that is windows</t>
  </si>
  <si>
    <t>percent</t>
  </si>
  <si>
    <t>surface area, walls</t>
  </si>
  <si>
    <t>Total</t>
  </si>
  <si>
    <t>R rating, walls</t>
  </si>
  <si>
    <t>energy tsfr, walls</t>
  </si>
  <si>
    <t>energy loss over 24hrs, window</t>
  </si>
  <si>
    <t>energy loss over 24hrs, walls</t>
  </si>
  <si>
    <t>Energy Transfer</t>
  </si>
  <si>
    <t>Loss Per Day</t>
  </si>
  <si>
    <t>Heating Element</t>
  </si>
  <si>
    <t>(not natural gas)</t>
  </si>
  <si>
    <t>USD</t>
  </si>
  <si>
    <t>Cost If Heating</t>
  </si>
  <si>
    <t>Via Direct Electrical</t>
  </si>
  <si>
    <t>3x5ft window - Cover OFF</t>
  </si>
  <si>
    <t>3x5ft window - Cover ON</t>
  </si>
  <si>
    <t>This looks at 3x5 ft window with 50F differential between outside and inside, where R14 window cover (2" of PIR foam) moves from internal wall cavity</t>
  </si>
  <si>
    <t>to window. Insulation in wall is R21 with cover in not deployed, and R21+R14=R35 with the cover DEPLOYED</t>
  </si>
  <si>
    <t>Loss Per Month</t>
  </si>
  <si>
    <t>energy loss, 1mth, window</t>
  </si>
  <si>
    <t>energy loss, 1mth, walls</t>
  </si>
  <si>
    <t>K BTU</t>
  </si>
  <si>
    <t>https://buffalo.extension.wisc.edu/files/2011/01/Energy-Cost-Calculator-for-Various-Fuels-PSU.pdf</t>
  </si>
  <si>
    <t>Massachusetts generation + transportation, residential is $0.22</t>
  </si>
  <si>
    <t>https://www.google.com/search?q=natural+gas+cost+per+btu&amp;rlz=1C1CHBF_enUS816US816&amp;oq=natural+gas+cost+per+btu&amp;aqs=chrome..69i57j0l5.9358j1j7&amp;sourceid=chrome&amp;ie=UTF-8</t>
  </si>
  <si>
    <t>Natural Gas Cost/BTU</t>
  </si>
  <si>
    <t>$/ K BTU</t>
  </si>
  <si>
    <t>Via Natural Gas</t>
  </si>
  <si>
    <t>Electricity cost, 1mth, window</t>
  </si>
  <si>
    <t>Electricity cost, 1mth, walls</t>
  </si>
  <si>
    <t>Natural gas cost, 1mth, window</t>
  </si>
  <si>
    <t>Natural gas cost, 1mth, walls</t>
  </si>
  <si>
    <t>https://www.st.com/content/ccc/resource/technical/document/application_note/group0/c6/9e/d6/c8/39/93/41/00/DM00415532/files/DM00415532.pdf/jcr:content/translations/en.DM00415532.pdf</t>
  </si>
  <si>
    <t>TI, 110/220VAC to 3V/5V power supply -- 6 Reference Design one 1 PCB, Small 110VAC to 3V power supplies (EXCELLENT)</t>
  </si>
  <si>
    <t xml:space="preserve">ST Microsystems, AN5058, Low-cost STM8 / STM32 power supply from mains </t>
  </si>
  <si>
    <r>
      <t xml:space="preserve">Buck Input Cap Drooping -- THIS IS </t>
    </r>
    <r>
      <rPr>
        <b/>
        <sz val="11"/>
        <color theme="7"/>
        <rFont val="Calibri"/>
        <family val="2"/>
        <scheme val="minor"/>
      </rPr>
      <t>OK</t>
    </r>
    <r>
      <rPr>
        <b/>
        <sz val="11"/>
        <color rgb="FFFF0000"/>
        <rFont val="Calibri"/>
        <family val="2"/>
        <scheme val="minor"/>
      </rPr>
      <t xml:space="preserve"> </t>
    </r>
    <r>
      <rPr>
        <b/>
        <sz val="11"/>
        <color theme="6"/>
        <rFont val="Calibri"/>
        <family val="2"/>
        <scheme val="minor"/>
      </rPr>
      <t>SINCE INPUT IS DC AND NOT AC</t>
    </r>
  </si>
  <si>
    <t>voltage regulator input capacitor</t>
  </si>
  <si>
    <t>heat on wire</t>
  </si>
  <si>
    <t>https://www.powerstream.com/Wire_Size.htm</t>
  </si>
  <si>
    <t>RS-486-10K</t>
  </si>
  <si>
    <t>RS-486-100K</t>
  </si>
  <si>
    <t>uSec/bit</t>
  </si>
  <si>
    <t>Fixed Rise Time</t>
  </si>
  <si>
    <t>% of bit time</t>
  </si>
  <si>
    <t>Feedback loop varies current based on cable capacitance, to produce fixed rise time +-30%</t>
  </si>
  <si>
    <t>Maximum Cable Length</t>
  </si>
  <si>
    <t xml:space="preserve">  * tree topology </t>
  </si>
  <si>
    <t>pF total</t>
  </si>
  <si>
    <t>pF/ft</t>
  </si>
  <si>
    <t>Fixed Bit Rate</t>
  </si>
  <si>
    <t>Bit rate is fixed and matches fixed rise/fall time.</t>
  </si>
  <si>
    <t>Cable is unterminated or lightly terminated (e.g. 10K pull up), tree topology is supported</t>
  </si>
  <si>
    <t>https://www.rane.com/note126.html</t>
  </si>
  <si>
    <t xml:space="preserve"> I = C dv/dt</t>
  </si>
  <si>
    <t>ratio rise/flight</t>
  </si>
  <si>
    <t>transmitter drives wire 5V</t>
  </si>
  <si>
    <t>Protection Voltage Drop</t>
  </si>
  <si>
    <t>Max Cable Capacitance</t>
  </si>
  <si>
    <t>https://www.digikey.com/product-detail/en/rohm-semiconductor/LTR18EZPF49R9/RHM49.9YTR-ND/4052946</t>
  </si>
  <si>
    <t>49.9 Ohms ±1% 0.75W, 3/4W Chip Resistor, 1206, Automotive, 200V working, 400V overload, Pulse Withstanding, Thick Film</t>
  </si>
  <si>
    <t>resistor power rating, W</t>
  </si>
  <si>
    <t>V^2/R = P,    V = sqrt(P*R)</t>
  </si>
  <si>
    <t>nSec/ft</t>
  </si>
  <si>
    <t>max flight time, nSec</t>
  </si>
  <si>
    <t>W</t>
  </si>
  <si>
    <t xml:space="preserve">  * unterminated cable</t>
  </si>
  <si>
    <t xml:space="preserve">  * external series R</t>
  </si>
  <si>
    <t>https://www.electronics-tutorials.ws/rc/rc_1.html#targetText=Since%20voltage%20V%20is%20related,charging%20period%20is%20given%20as%3A&amp;targetText=RC%20is%20the%20time%20constant%20of%20the%20RC%20charging%20circuit</t>
  </si>
  <si>
    <t>building</t>
  </si>
  <si>
    <t>machine</t>
  </si>
  <si>
    <t>or vehicle</t>
  </si>
  <si>
    <t>commercial</t>
  </si>
  <si>
    <t>RS-486-33K</t>
  </si>
  <si>
    <t>nSec</t>
  </si>
  <si>
    <t>Varistor pF Load</t>
  </si>
  <si>
    <t>pF/node</t>
  </si>
  <si>
    <t>rise time due to varistor pF load</t>
  </si>
  <si>
    <t>https://www.digikey.com/product-detail/en/micro-commercial-co/FS1M-TP/1505-FS1M-TP-CHP/4765975</t>
  </si>
  <si>
    <t>Diode: 1000V, 1A, DO-214AC, #FS1M-TP</t>
  </si>
  <si>
    <t>cable pF</t>
  </si>
  <si>
    <t>cable ft</t>
  </si>
  <si>
    <t>rise time tc, uSec</t>
  </si>
  <si>
    <t>RS-486-3K</t>
  </si>
  <si>
    <t>very large</t>
  </si>
  <si>
    <t>RS-486-1K</t>
  </si>
  <si>
    <t>multiple</t>
  </si>
  <si>
    <t>buildings</t>
  </si>
  <si>
    <t>Diode: 1A/1000V, 1.3Vf @ 1A, 5uA@1000Vr, $0.02, 500nSec, DO-214AC (5x3mm), #FS1M-TP</t>
  </si>
  <si>
    <t>Resistor/Fuse: 10ohm, 3W, $0.03, Flame/Safety, 15x5mm, Thru Hole, #FMP300FRF73-4R</t>
  </si>
  <si>
    <t>List: 5Vout, &gt; 40Vin, SOT89</t>
  </si>
  <si>
    <t>Bridge Rectifier: $.04, 5uA@800Vr (150*5uA=0.8mW), 1.1V@0.8A, 7x6mm, #ABS8TR</t>
  </si>
  <si>
    <r>
      <t>Termination (</t>
    </r>
    <r>
      <rPr>
        <sz val="11"/>
        <color theme="1"/>
        <rFont val="Calibri"/>
        <family val="2"/>
      </rPr>
      <t>Ω</t>
    </r>
    <r>
      <rPr>
        <sz val="11"/>
        <color theme="1"/>
        <rFont val="Calibri"/>
        <family val="2"/>
        <scheme val="minor"/>
      </rPr>
      <t>)</t>
    </r>
  </si>
  <si>
    <t>cable meters</t>
  </si>
  <si>
    <t>Rise time Driven by Termination Resistor (no one else is driving cable)</t>
  </si>
  <si>
    <t>Carbon Emissions</t>
  </si>
  <si>
    <r>
      <t>CO</t>
    </r>
    <r>
      <rPr>
        <b/>
        <vertAlign val="subscript"/>
        <sz val="11"/>
        <color theme="6"/>
        <rFont val="Calibri"/>
        <family val="2"/>
        <scheme val="minor"/>
      </rPr>
      <t>2</t>
    </r>
    <r>
      <rPr>
        <b/>
        <sz val="11"/>
        <color theme="6"/>
        <rFont val="Calibri"/>
        <family val="2"/>
        <scheme val="minor"/>
      </rPr>
      <t xml:space="preserve"> Emissions</t>
    </r>
  </si>
  <si>
    <t>LBs CO2 per GDP dollar, USA</t>
  </si>
  <si>
    <t>https://en.wikipedia.org/wiki/List_of_countries_by_ratio_of_GDP_to_carbon_dioxide_emissions</t>
  </si>
  <si>
    <t>cost of 10kw solar system, $3/Watt, parts and labor</t>
  </si>
  <si>
    <t>hours of sun per day, average</t>
  </si>
  <si>
    <t>solar array, # of watts, sun normal to surface</t>
  </si>
  <si>
    <t>energy decrease due to angle</t>
  </si>
  <si>
    <t>https://www.wingas.com/fileadmin/Wingas/WINGAS-Studien/Energieversorgung_und_Energiewende_en.pdf</t>
  </si>
  <si>
    <t>LBs of C02 per kWh of electricity generated</t>
  </si>
  <si>
    <t>LBs CO2 associated with $30K cost, based on 0.88 LBs CO2 per $1 GDP</t>
  </si>
  <si>
    <t>kWHr generated per year</t>
  </si>
  <si>
    <t>kWHr generated, 20 years</t>
  </si>
  <si>
    <t>years lifetime</t>
  </si>
  <si>
    <t># of LBs of carbon not emitted due to solar instead of burning natrual gas to make electricity</t>
  </si>
  <si>
    <t># of LBs of carbon not emitted, when one adjusts for $30K GDP expense</t>
  </si>
  <si>
    <t>"If transport, production and processing materials are taken into account, natural gas produces 0.572 kg of CO2 per kWh of electricity generated"</t>
  </si>
  <si>
    <t>PCB Trace Resistance, Voltage drop, &amp; Power Disipation</t>
  </si>
  <si>
    <t>Voltage Drop</t>
  </si>
  <si>
    <t>(uV)</t>
  </si>
  <si>
    <t>(uW)</t>
  </si>
  <si>
    <t>Voltage drop along rectangular conductor</t>
  </si>
  <si>
    <t>Surface Area</t>
  </si>
  <si>
    <t>(m^2)</t>
  </si>
  <si>
    <t>material</t>
  </si>
  <si>
    <t>type</t>
  </si>
  <si>
    <t>material resist</t>
  </si>
  <si>
    <t>Ω * m</t>
  </si>
  <si>
    <t>Total  (Ω)</t>
  </si>
  <si>
    <t>Weight</t>
  </si>
  <si>
    <t>Volume</t>
  </si>
  <si>
    <t>(m^3)</t>
  </si>
  <si>
    <t>Density</t>
  </si>
  <si>
    <t>(Kg/m^3)</t>
  </si>
  <si>
    <t>Cost/Kg</t>
  </si>
  <si>
    <t>($/Kg)</t>
  </si>
  <si>
    <t>Cost ($)</t>
  </si>
  <si>
    <t>TWO BUSES</t>
  </si>
  <si>
    <t>50m Row (5*10):</t>
  </si>
  <si>
    <t>40m Col x 50m Row, 4kW*100pnls=400kW</t>
  </si>
  <si>
    <t>Monolithic Power, Inc</t>
  </si>
  <si>
    <t>Microchip Inc.</t>
  </si>
  <si>
    <t>go to a low voltage, low cost 22uF 25V capacitor that holds the voltage while it droops from 12V down to 7V,</t>
  </si>
  <si>
    <t>portion of 16mSec sine that we set threashold (i.e. we turn off power after 1/Nth of a sine cycle where this ratio is N, e.g. if N is 20, then 1/20th of a sine is 48V if sine starts at 0V. You will be at &lt;48V four times within the sine cycle, therefore you will be at &lt;48V a total of 20% of the sine cycle if N is 20 since 1/20=5%)</t>
  </si>
  <si>
    <t>Vertical bore geothermal ground loop installation</t>
  </si>
  <si>
    <t>"200 ft per 1ton of a/c"</t>
  </si>
  <si>
    <t>https://www.youtube.com/watch?v=tIMuRymKhqw</t>
  </si>
  <si>
    <t>https://www.youtube.com/watch?v=nnqdUQo7cWQ</t>
  </si>
  <si>
    <t>Drilling and Installation of Vertical Geothermal Loops</t>
  </si>
  <si>
    <t>Videos that show Current Vertical Borehole Drilling Techniques</t>
  </si>
  <si>
    <t>Next Generation Vertical Borehole Drilling Technique</t>
  </si>
  <si>
    <t>iron</t>
  </si>
  <si>
    <t>Density (LBs/in^3)</t>
  </si>
  <si>
    <t>Height (ft)</t>
  </si>
  <si>
    <t>Height (in)</t>
  </si>
  <si>
    <t>Weight on DrillHead (LBs/in^2)</t>
  </si>
  <si>
    <t>Drillheads</t>
  </si>
  <si>
    <t>https://www.made-in-china.com/products-search/hot-china-products/Tricone_Bit_Price.html</t>
  </si>
  <si>
    <t>List of Drillbits, made in china</t>
  </si>
  <si>
    <t>https://www.texasmonthly.com/the-culture/texas-primer-the-hughes-drill-bit/</t>
  </si>
  <si>
    <t>https://www2.southeastern.edu/orgs/oilspill/asme_hughes_bit.pdf</t>
  </si>
  <si>
    <t>hughes drillbit history</t>
  </si>
  <si>
    <t>https://escholarship.org/content/qt63r062vf/qt63r062vf.pdf</t>
  </si>
  <si>
    <t>Thesis: "Computation Modeling of Drill Bits: A New Method for Reproducing Bottom Hole Geometry and a Second-Order Explicit Integrator via Composition for Coupled Rotating Rigid Bodies"</t>
  </si>
  <si>
    <t>https://www.atlascopco.com/content/dam/atlas-copco/mining-and-rock-excavation-technique/drilling-solutions/documents/Deep%20Hole%20Drilling.pdf</t>
  </si>
  <si>
    <t>140 page guide on drilling, Atlas Copco Inc.</t>
  </si>
  <si>
    <t>hole diameter (inches)</t>
  </si>
  <si>
    <t>Weight Above Drillhead</t>
  </si>
  <si>
    <t>total Weight (LBs)</t>
  </si>
  <si>
    <t>total Force (N)</t>
  </si>
  <si>
    <t>hole surface area (in^2)</t>
  </si>
  <si>
    <t>total Force (kN)</t>
  </si>
  <si>
    <t>downward force (called pulldown) is 220kN in typical rig (going deep for gas or oil)</t>
  </si>
  <si>
    <t>bit rock interface, page 30</t>
  </si>
  <si>
    <t>https://www.skillingsandsons.com/blog/our-most-frequently-asked-questions-about-bedrock-water-wells</t>
  </si>
  <si>
    <t>drilling into bedrock</t>
  </si>
  <si>
    <t>https://www.osti.gov/servlets/purl/895493</t>
  </si>
  <si>
    <t>drill bit testing, us gov't, page 10</t>
  </si>
  <si>
    <t>ROP (ft/hr rate of penetration), weight on bits (LBs, WOB)</t>
  </si>
  <si>
    <t>dimater 1</t>
  </si>
  <si>
    <t>dimater 2</t>
  </si>
  <si>
    <t>area ratio</t>
  </si>
  <si>
    <t>http://www.iadc.org/wp-content/uploads/2015/08/preview-bits.pdf</t>
  </si>
  <si>
    <t>iadc drilling manual, summary</t>
  </si>
  <si>
    <t>Click "view technical report"</t>
  </si>
  <si>
    <t>vehicle, large machine, or small room</t>
  </si>
  <si>
    <t xml:space="preserve">333K bps </t>
  </si>
  <si>
    <t xml:space="preserve">1M bps </t>
  </si>
  <si>
    <t>Cable Speed (bits-per-sec)</t>
  </si>
  <si>
    <t>Application</t>
  </si>
  <si>
    <t>Receiver Bandwidth (kHz)</t>
  </si>
  <si>
    <t xml:space="preserve">150µSec </t>
  </si>
  <si>
    <t>45µSec</t>
  </si>
  <si>
    <t xml:space="preserve">15µSec </t>
  </si>
  <si>
    <t xml:space="preserve">4.5µSec </t>
  </si>
  <si>
    <t xml:space="preserve">1.5µSec </t>
  </si>
  <si>
    <t xml:space="preserve">0.5µSec </t>
  </si>
  <si>
    <t xml:space="preserve">0.12µSec </t>
  </si>
  <si>
    <t>Maximum Network Length (m)</t>
  </si>
  <si>
    <t>≤ 1000m</t>
  </si>
  <si>
    <t>≤ 300m</t>
  </si>
  <si>
    <t>≤ 100m</t>
  </si>
  <si>
    <t>≤ 30m</t>
  </si>
  <si>
    <t>≤ 10m</t>
  </si>
  <si>
    <t>≤ 3.3m</t>
  </si>
  <si>
    <t>≤ 1m</t>
  </si>
  <si>
    <t>Rise/Fall time (uSec)</t>
  </si>
  <si>
    <t>Connect multiple buildings</t>
  </si>
  <si>
    <t>Large commercial building</t>
  </si>
  <si>
    <t>Small or medium size commercial building</t>
  </si>
  <si>
    <t>House or large commercial room</t>
  </si>
  <si>
    <t>Medium sized machine or 19" rack</t>
  </si>
  <si>
    <t>Medium sized enclosure (e.g. 16"x16"x3" box)</t>
  </si>
  <si>
    <t>1K bps</t>
  </si>
  <si>
    <t>10K bps</t>
  </si>
  <si>
    <t>100K bps</t>
  </si>
  <si>
    <t>3.3K bps</t>
  </si>
  <si>
    <t>33K bps</t>
  </si>
  <si>
    <t>http://www.smar.com/en/technical-article/inductive-coupling-and-how-to-minimize-their-effects-in-industrial-installations</t>
  </si>
  <si>
    <t>Inductive Coupling in Cable</t>
  </si>
  <si>
    <t>Inductive Coupling and how to Minimize their Effects in Industrial Installations</t>
  </si>
  <si>
    <t>https://www.amazon.com/dp/0081010168/ref=cm_sw_em_r_mt_dp_U_nklODbHZJZJE5</t>
  </si>
  <si>
    <t> EMC for Product Designers, 600 page book (on gsw's Kindle system), By Tim Williams</t>
  </si>
  <si>
    <t xml:space="preserve"> dt = C dv/ I</t>
  </si>
  <si>
    <t>http://www.bostonplans.org/getattachment/d1114318-1b95-487c-bc36-682f8594e8b2?utm_source=FINAL+Urban+Sustainability+Bulletin+%28OCT+2019%29&amp;utm_campaign=Oct+2019+USB&amp;utm_medium=email</t>
  </si>
  <si>
    <t>Coastal Flood Resilience Guidelines, 2019</t>
  </si>
  <si>
    <t>freq (Mhz)</t>
  </si>
  <si>
    <t>VDC min</t>
  </si>
  <si>
    <t>VDC max</t>
  </si>
  <si>
    <t>VAC min</t>
  </si>
  <si>
    <t>VAC max</t>
  </si>
  <si>
    <t>Design Name</t>
  </si>
  <si>
    <t>PSLV</t>
  </si>
  <si>
    <t>PSHV</t>
  </si>
  <si>
    <t>PSAC</t>
  </si>
  <si>
    <t>PSFL</t>
  </si>
  <si>
    <t>Name</t>
  </si>
  <si>
    <t>SUMMARY: Tiny Power Supplies for Tiny Processors</t>
  </si>
  <si>
    <t>Pathnames to Multiple Spreadsheets</t>
  </si>
  <si>
    <t>File Relative Pathnames</t>
  </si>
  <si>
    <t>FileNameField</t>
  </si>
  <si>
    <t>Path Text, which is set to FileNameField</t>
  </si>
  <si>
    <t>GWeinrebFile</t>
  </si>
  <si>
    <t>KKimFile</t>
  </si>
  <si>
    <t>DChuFile</t>
  </si>
  <si>
    <t>Example Cell References</t>
  </si>
  <si>
    <t>https://contextures.com/xlFunctions05.html</t>
  </si>
  <si>
    <t>https://support.microsoft.com/en-us/help/328440/description-of-link-management-and-storage-in-excel</t>
  </si>
  <si>
    <t>Named Cell</t>
  </si>
  <si>
    <t>This is named to "TestCell123"</t>
  </si>
  <si>
    <t>For a description of how this all works, see "Ma2_Solar_RD_PLAN.docx" / "Chapter .. Multiple Researchers Collaborate via Spreadsheets".</t>
  </si>
  <si>
    <t>named cells:</t>
  </si>
  <si>
    <t>&lt;&lt; see "Scenarios that may cause links to not work as expected"</t>
  </si>
  <si>
    <t>&lt;&lt; Indirect() Works ONLY if source workbook is OPEN, and you must open source from desktop and not FILE/OPEN command.</t>
  </si>
  <si>
    <t>How to create external reference in Excel to refer to another sheet or workbook</t>
  </si>
  <si>
    <t>https://www.ablebits.com/office-addins-blog/2015/12/08/excel-reference-another-sheet-workbook/</t>
  </si>
  <si>
    <t>Excel INDIRECT Function</t>
  </si>
  <si>
    <t>Description of link management and storage in Excel</t>
  </si>
  <si>
    <t>Licensing</t>
  </si>
  <si>
    <t>https://github.com/Infineon/XMC-for-Arduino/blob/master/arm/cores/HardwareSerial.cpp</t>
  </si>
  <si>
    <t>https://opensource.org/licenses/MIT</t>
  </si>
  <si>
    <t>https://en.m.wikipedia.org/wiki/MIT_License</t>
  </si>
  <si>
    <t>https://en.m.wikipedia.org/wiki/GNU_General_Public_License</t>
  </si>
  <si>
    <t>https://en.m.wikipedia.org/wiki/Creative_Commons_license#Zero_/_public_domain</t>
  </si>
  <si>
    <t>https://en.m.wikipedia.org/wiki/Comparison_of_free_and_open-source_software_licenses</t>
  </si>
  <si>
    <t>https://creativecommons.org/share-your-work/public-domain/cc0/</t>
  </si>
  <si>
    <t>GNU Lesser General Public License as published by the Free Software Foundation</t>
  </si>
  <si>
    <t>Mikroe uses MIT License</t>
  </si>
  <si>
    <t>MIT License</t>
  </si>
  <si>
    <t>GNU General Public License</t>
  </si>
  <si>
    <t>Creative Commons License</t>
  </si>
  <si>
    <t>Comparison of free and open-source software licenses</t>
  </si>
  <si>
    <t>·      </t>
  </si>
  <si>
    <t>https://creativecommons.org/share-your-work/</t>
  </si>
  <si>
    <t>Creative Commons CCO License</t>
  </si>
  <si>
    <t>Creative Commons Share Your Work Video</t>
  </si>
  <si>
    <t>Suggested Text</t>
  </si>
  <si>
    <t>This material is governed under the Creative Commons Attribution 4.0 Int'l license (https://creativecommons.org/licenses/by/4.0/).</t>
  </si>
  <si>
    <t xml:space="preserve">Material contained in this file can be Used, Shared or Modified; for any purpose; at no charge. </t>
  </si>
  <si>
    <t>Material contained in this file can be Used, Shared or Modified</t>
  </si>
  <si>
    <t>summary of "hughes drill bit"</t>
  </si>
  <si>
    <t>Initial Accuracy</t>
  </si>
  <si>
    <t>ppm/C</t>
  </si>
  <si>
    <t>temp ( C )</t>
  </si>
  <si>
    <t>error due to temp drift</t>
  </si>
  <si>
    <t>total error</t>
  </si>
  <si>
    <t>ppm/C typ</t>
  </si>
  <si>
    <t>ppm/C max</t>
  </si>
  <si>
    <t>part #</t>
  </si>
  <si>
    <t>Initial Acc max</t>
  </si>
  <si>
    <t>Output</t>
  </si>
  <si>
    <t>Vin</t>
  </si>
  <si>
    <t>https://www.analog.com/en/products/adr3412.html#product-overview</t>
  </si>
  <si>
    <t>webpage</t>
  </si>
  <si>
    <t>250 mV @ 2 mA</t>
  </si>
  <si>
    <t>Headroom</t>
  </si>
  <si>
    <t>ADR3425</t>
  </si>
  <si>
    <t xml:space="preserve"> &gt; 3.25V</t>
  </si>
  <si>
    <t>https://www.maximintegrated.com/en/products/analog/voltage-references/MAX6070.html/tb_tab0</t>
  </si>
  <si>
    <t xml:space="preserve"> &gt; 2.75V</t>
  </si>
  <si>
    <t># of op amps</t>
  </si>
  <si>
    <t>Vout</t>
  </si>
  <si>
    <t>Vpwr (V)</t>
  </si>
  <si>
    <t>Vos mV Max Over Temp</t>
  </si>
  <si>
    <t>Vpwr max (V)</t>
  </si>
  <si>
    <t>cmrr</t>
  </si>
  <si>
    <t>Gain BW (MHz)</t>
  </si>
  <si>
    <t>cost ($)</t>
  </si>
  <si>
    <t>Voltage Reference, low cost, &lt; 10ppm/C</t>
  </si>
  <si>
    <t>initial accuracy %</t>
  </si>
  <si>
    <t>package</t>
  </si>
  <si>
    <t>Power (W)</t>
  </si>
  <si>
    <t>total error %</t>
  </si>
  <si>
    <t>https://www.digikey.com/product-detail/en/panasonic-electronic-components/ERA-3AEB103V/P10KDBTR-ND/1465878</t>
  </si>
  <si>
    <t>limiting voltage (V)</t>
  </si>
  <si>
    <t>quick over-voltage (v)</t>
  </si>
  <si>
    <t>ERA-3AEB103V</t>
  </si>
  <si>
    <t>RNCF1206BTE10K0</t>
  </si>
  <si>
    <t>RT1206DRD0710KL</t>
  </si>
  <si>
    <t xml:space="preserve">https://www.digikey.com/product-detail/en/panasonic-electronic-components/ERA-3AED103V/P123734TR-ND/9373487 </t>
  </si>
  <si>
    <t>ERA-3AED103V</t>
  </si>
  <si>
    <t>https://www.digikey.com/product-detail/en/riedon/CSRL3-0R001F8/696-1834-2-ND/9666049</t>
  </si>
  <si>
    <t>CSRL3-0R001F8</t>
  </si>
  <si>
    <t>Resistor, thin film</t>
  </si>
  <si>
    <t>Note: If one measures initial resistance at factory and stores in eeprom then they can use that to remove Initial Accuracy Error</t>
  </si>
  <si>
    <t>Initial Accuracy + Temperature Drift</t>
  </si>
  <si>
    <t>Current Flow (A)</t>
  </si>
  <si>
    <t>Resistance (ohms)</t>
  </si>
  <si>
    <t>Voltage Drop (V)</t>
  </si>
  <si>
    <t>Power Disip (W)</t>
  </si>
  <si>
    <t>Multiplexor, 8:1, Vpwr max is low to save $</t>
  </si>
  <si>
    <t>https://www.digikey.com/product-detail/en/on-semiconductor/NLAST4051DTR2G/NLAST4051DTR2GOSTR-ND/920174</t>
  </si>
  <si>
    <t>NLAST4051DTR2G</t>
  </si>
  <si>
    <t>NLVAST4051DTR2G</t>
  </si>
  <si>
    <t xml:space="preserve"> 8:1</t>
  </si>
  <si>
    <t>config</t>
  </si>
  <si>
    <t>https://www.digikey.com/product-detail/en/on-semiconductor/NLVAST4051DTR2G/NLVAST4051DTR2G-ND/5845526</t>
  </si>
  <si>
    <t>https://www.digikey.com/product-detail/en/vishay-siliconix/DG4051EEQ-T1-GE3/DG4051EEQ-T1-GE3TR-ND/5994104</t>
  </si>
  <si>
    <t xml:space="preserve"> +-9V</t>
  </si>
  <si>
    <t>DC-to-DC converter, 3.3Vout, Isolated, &lt;= 1Watt, PCB Mount</t>
  </si>
  <si>
    <t>https://www.digikey.com/product-detail/en/cui-inc/PDSE1-S5-S3-S/102-6290-ND/10229825</t>
  </si>
  <si>
    <t>PDSE1-S5-S3-S</t>
  </si>
  <si>
    <t>4.5 to 5.5</t>
  </si>
  <si>
    <t>current out mA</t>
  </si>
  <si>
    <t>30 to 300</t>
  </si>
  <si>
    <t>Max Power (W)</t>
  </si>
  <si>
    <t>Isolation Voltage (V)</t>
  </si>
  <si>
    <t>https://www.digikey.com/product-detail/en/texas-instruments/ISO1050DWR/296-41267-2-ND/2596853</t>
  </si>
  <si>
    <t>ISO1050DUBR</t>
  </si>
  <si>
    <t>gwi arrow price</t>
  </si>
  <si>
    <t>3 to 5.5V</t>
  </si>
  <si>
    <t>5Vpwr bus mA</t>
  </si>
  <si>
    <t>CANbus Transciever</t>
  </si>
  <si>
    <t>Can-side pwr mA</t>
  </si>
  <si>
    <t># of DC-to-DC conv</t>
  </si>
  <si>
    <t>TI:</t>
  </si>
  <si>
    <t>http://www.ti.com/interface/can-lin/products.html?pqs=paqs&amp;familyid=540#p1690=Yes</t>
  </si>
  <si>
    <t>http://www.ti.com/product/ISO1042</t>
  </si>
  <si>
    <t>isolation Vrms</t>
  </si>
  <si>
    <t>ISO1042BDWVR</t>
  </si>
  <si>
    <t>Maxim:</t>
  </si>
  <si>
    <t xml:space="preserve">https://para.maximintegrated.com/en/search.mvp?fam=can&amp;hs=1 </t>
  </si>
  <si>
    <t xml:space="preserve">MAX14878  </t>
  </si>
  <si>
    <t>maxim 1K price</t>
  </si>
  <si>
    <t>digi (ti web says $1.69/1k)</t>
  </si>
  <si>
    <t>Analog D:</t>
  </si>
  <si>
    <t>https://www.analog.com/en/parametricsearch/11034</t>
  </si>
  <si>
    <t>Selection Webpages:</t>
  </si>
  <si>
    <t>1.7 to 5.5V</t>
  </si>
  <si>
    <t>5+-0.5V</t>
  </si>
  <si>
    <t xml:space="preserve">Size </t>
  </si>
  <si>
    <t>https://www.digikey.com/product-detail/en/stmicroelectronics/TSV994IPT/497-6003-2-ND/1578407</t>
  </si>
  <si>
    <t>40mV to (Vcc-40mV)</t>
  </si>
  <si>
    <t>Min Gain Stability</t>
  </si>
  <si>
    <t>G &gt;= 4</t>
  </si>
  <si>
    <t>NO SPEC</t>
  </si>
  <si>
    <t>NO SPEC !!</t>
  </si>
  <si>
    <t>LMV793MFX</t>
  </si>
  <si>
    <t xml:space="preserve"> -0.1 to (Vcc+0.1)</t>
  </si>
  <si>
    <t xml:space="preserve"> -0.2 to (Vcc+0.2)</t>
  </si>
  <si>
    <t>https://www.digikey.com/product-detail/en/texas-instruments/LMV793MFX-NOPB/296-44191-2-ND/1872392</t>
  </si>
  <si>
    <t>Vmeasure</t>
  </si>
  <si>
    <t>current mA</t>
  </si>
  <si>
    <t>Rsense (mW)</t>
  </si>
  <si>
    <t>mux/op amp leakage nA</t>
  </si>
  <si>
    <t>http://www.emcohighvoltage.com/pdfs/EMCO_AN_8.pdf</t>
  </si>
  <si>
    <t xml:space="preserve">High Voltage and Load Current Monitors </t>
  </si>
  <si>
    <t>https://coefs.uncc.edu/dlsharer/files/2012/04/H7.pdf</t>
  </si>
  <si>
    <t>Frequency Response of Op-Amp Circuits</t>
  </si>
  <si>
    <t>https://www.me.psu.edu/cimbala/me345/Lectures/Op_amps.pdf</t>
  </si>
  <si>
    <t xml:space="preserve">Operational Amplifiers (Op-Amps) </t>
  </si>
  <si>
    <t>http://www.ti.com/lit/ds/symlink/tlv9064.pdf</t>
  </si>
  <si>
    <t>https://www.digikey.com/product-detail/en/texas-instruments/TLV9064IPWR/296-50014-2-ND/8038004</t>
  </si>
  <si>
    <t>Designed</t>
  </si>
  <si>
    <t>Op Amps</t>
  </si>
  <si>
    <t>good &gt;&gt;</t>
  </si>
  <si>
    <t>https://www.analog.com/media/en/technical-documentation/application-notes/an105fa.pdf</t>
  </si>
  <si>
    <t>http://www.ti.com/lit/sg/slyb194d/slyb194d.pdf</t>
  </si>
  <si>
    <t>Current Sense Design Guide, TI</t>
  </si>
  <si>
    <t>Current Sensing Application Note, Analog Devices, AN105, 2005</t>
  </si>
  <si>
    <t>Current Sense, Component Selection Table, TI</t>
  </si>
  <si>
    <t>http://www.ti.com/amplifier-circuit/current-sense/analog-output/products.html#p726max=76;110&amp;p773=100;128;200;300;Adjustable;500&amp;sort=p1130;asc</t>
  </si>
  <si>
    <t>http://www.ti.com/lit/ds/symlink/ina290-q1.pdf</t>
  </si>
  <si>
    <t>gain</t>
  </si>
  <si>
    <t>cm voltage</t>
  </si>
  <si>
    <t>http://www.ti.com/product/INA290-Q1?keyMatch=INA290&amp;tisearch=Search-EN-everything</t>
  </si>
  <si>
    <t>http://www.ti.com/product/INA293-Q1?keyMatch=INA29&amp;tisearch=Search-EN-everything</t>
  </si>
  <si>
    <t>0 to 110</t>
  </si>
  <si>
    <t xml:space="preserve"> -4 to 110</t>
  </si>
  <si>
    <t>http://www.ti.com/lit/ds/symlink/ina293-q1.pdf</t>
  </si>
  <si>
    <t>datasheet</t>
  </si>
  <si>
    <t>1 max</t>
  </si>
  <si>
    <t>5typ 25mx</t>
  </si>
  <si>
    <t>.25 max</t>
  </si>
  <si>
    <t>25typ 200mx</t>
  </si>
  <si>
    <t>gain error %</t>
  </si>
  <si>
    <t>bandwidth KHz</t>
  </si>
  <si>
    <t>.02typ .25mx</t>
  </si>
  <si>
    <t>.02typ .2mx</t>
  </si>
  <si>
    <t xml:space="preserve"> 25mV to Vpwr-0.2V</t>
  </si>
  <si>
    <t>Quiescent (mA)</t>
  </si>
  <si>
    <t>2.5 mA</t>
  </si>
  <si>
    <t>0.6 mA</t>
  </si>
  <si>
    <t>High Side Current Sense Amplifier</t>
  </si>
  <si>
    <t>R protection (ohms)</t>
  </si>
  <si>
    <t>R protection (mW)</t>
  </si>
  <si>
    <t>Protection R's</t>
  </si>
  <si>
    <t>Time Constant (uS)</t>
  </si>
  <si>
    <t>BW (MHz)</t>
  </si>
  <si>
    <t>Xmc4100 datasheet states "Total capacitance of an analog input" is 20pF max</t>
  </si>
  <si>
    <t>Vpwr</t>
  </si>
  <si>
    <t>Capacitance on Pin (pF)</t>
  </si>
  <si>
    <t>http://www.ti.com/lit/ug/tidue53a/tidue53a.pdf</t>
  </si>
  <si>
    <t>TI Reference Design</t>
  </si>
  <si>
    <t>Power Diode, 100Vr max, &gt;= 10A</t>
  </si>
  <si>
    <t>Power Diode, 600Vr max, &gt;= 10A</t>
  </si>
  <si>
    <t>VS-APH3006-N3</t>
  </si>
  <si>
    <t>Vr max (V)</t>
  </si>
  <si>
    <t>Vds max (V)</t>
  </si>
  <si>
    <t>TPH4R10ANL,L1Q</t>
  </si>
  <si>
    <t>https://www.digikey.com/product-detail/en/toshiba-semiconductor-and-storage/TPH4R10ANLL1Q/TPH4R10ANLL1Q-ND/7809860</t>
  </si>
  <si>
    <t>Rds (mΩ)</t>
  </si>
  <si>
    <t>TPH6R30ANL,L1Q</t>
  </si>
  <si>
    <t>https://www.digikey.com/product-detail/en/toshiba-semiconductor-and-storage/TPH6R30ANLL1Q/TPH6R30ANLL1Q-ND/7809862</t>
  </si>
  <si>
    <t>`</t>
  </si>
  <si>
    <t>https://www.digikey.com/products/en/discrete-semiconductor-products/transistors-fets-mosfets-single/278</t>
  </si>
  <si>
    <t>MOSFET, &gt;= 100Vds max, &lt;= 7mOhm</t>
  </si>
  <si>
    <t>DPAK</t>
  </si>
  <si>
    <t>On</t>
  </si>
  <si>
    <t>Off</t>
  </si>
  <si>
    <t>Vnom (V)</t>
  </si>
  <si>
    <t>Max mA Currrent</t>
  </si>
  <si>
    <t>CSRL3-0R05F8</t>
  </si>
  <si>
    <t>https://www.digikey.com/product-detail/en/on-semiconductor/NTS12100EMFST1G/NTS12100EMFST1G-ND/5258114</t>
  </si>
  <si>
    <t>NTS12100EMFST1G</t>
  </si>
  <si>
    <t>5DFN, 5x6mm</t>
  </si>
  <si>
    <t>https://www.digikey.com/product-detail/en/smc-diode-solutions/SURF860/SURF860SMC-ND/5992672</t>
  </si>
  <si>
    <t>SURF860SMC</t>
  </si>
  <si>
    <t>TO-220 isolated tab</t>
  </si>
  <si>
    <t>https://www.digikey.com/product-detail/en/smc-diode-solutions/STD12100TR/STD12100TRSMC-ND/5993778</t>
  </si>
  <si>
    <t>STD12100TR</t>
  </si>
  <si>
    <t>DPAK, 7x10mm, cathode pad</t>
  </si>
  <si>
    <t>not specified</t>
  </si>
  <si>
    <t>Vf @ 4A, 25C</t>
  </si>
  <si>
    <t>($0.10 + $0.15) * 2 = $0.50 total, two diodes + resistors, 1W each path</t>
  </si>
  <si>
    <t>SDT30B100D1</t>
  </si>
  <si>
    <t>DPAK, 7x10mm</t>
  </si>
  <si>
    <t>https://www.digikey.com/product-detail/en/diodes-incorporated/SDT30B100D1-13/SDT30B100D1-13DITR-ND/7667006</t>
  </si>
  <si>
    <t>(0.5V + 0.1V) * 4A = 2.4Watts</t>
  </si>
  <si>
    <t>($0.25) * 2 = $0.25 total, 2W for one DPAK</t>
  </si>
  <si>
    <t>(0.5V) * 4A = 2.0Watts</t>
  </si>
  <si>
    <t>https://www.digikey.com/product-detail/en/vishay-semiconductor-diodes-division/V30100SG-M3-4W/V30100SG-M3-4W-ND/4875153</t>
  </si>
  <si>
    <t>V30100SG-M3/4W</t>
  </si>
  <si>
    <t>To220, 10x16mm, cathode tab</t>
  </si>
  <si>
    <t>2512, 6x3mm</t>
  </si>
  <si>
    <t>https://www.digikey.com/product-detail/en/riedon/CSRL3-0R02F8/696-1840-2-ND/9666055</t>
  </si>
  <si>
    <t>CSRL3-0R02F8</t>
  </si>
  <si>
    <t>0.02 ohms * 4Amps = 80mV</t>
  </si>
  <si>
    <t>0.02 ohms * 2Amps = 40mV</t>
  </si>
  <si>
    <t>https://www.digikey.com/product-detail/en/taiwan-semiconductor-corporation/S10JCHM6G/S10JCHM6G-ND/7369660</t>
  </si>
  <si>
    <t>S10JCHM6G</t>
  </si>
  <si>
    <t>.8V@25C, .65V@125C</t>
  </si>
  <si>
    <t>DO214AB, 6x7mm, 3mm hi</t>
  </si>
  <si>
    <t>https://www.digikey.com/product-detail/en/samsung-electro-mechanics/CL32B225KCJSNNF/1276-CL32B225KCJSNNFTR-ND/10480140</t>
  </si>
  <si>
    <t>1210, 3.2x2.5mm, 3mm hi</t>
  </si>
  <si>
    <t>CL32B105KCJNNWE</t>
  </si>
  <si>
    <t>temp</t>
  </si>
  <si>
    <t xml:space="preserve"> -55 to 125C</t>
  </si>
  <si>
    <t>ftp://ftp.panasonic.com/solar/specsheet/n325330-spec-sheet.pdf</t>
  </si>
  <si>
    <t>330W, 3x5ft, 48Vout</t>
  </si>
  <si>
    <t>Time to discharge capacitor via resistor</t>
  </si>
  <si>
    <t>Voltage</t>
  </si>
  <si>
    <t>Resistor (Ω)</t>
  </si>
  <si>
    <t>current (A)</t>
  </si>
  <si>
    <t>100K, 1206 resistor, 1%, 200V -- burns 25mW</t>
  </si>
  <si>
    <t>Resistor Power (mW)</t>
  </si>
  <si>
    <t>ref:</t>
  </si>
  <si>
    <t>https://www.allaboutcircuits.com/tools/capacitor-Charge-and-time-constant-calculator/</t>
  </si>
  <si>
    <t>discharge time (Sec)</t>
  </si>
  <si>
    <t>http://www.lg-solar.com/downloads/spec-sheet/DS_NeON2_60cells.pdf</t>
  </si>
  <si>
    <t>https://www.solaris-shop.com/monocrystalline/</t>
  </si>
  <si>
    <t>monocrystalline panels</t>
  </si>
  <si>
    <t>https://www.solaris-shop.com/canadian-solar-biku-cs3u-375-mb-ag-375w-bifacial-mono-solar-panel/</t>
  </si>
  <si>
    <t>https://www.solaris-shop.com/hanwha-q-cells-q-peak-duo-blk-g5-325-325w-mono-solar-panel/</t>
  </si>
  <si>
    <t>330W, 3x5ft, 38Vout typ, 30 to 40V optimal, 47Voc max</t>
  </si>
  <si>
    <t>330W, 3x5ft, 38Vout typ, 30 to 40V optimal, 41Voc max</t>
  </si>
  <si>
    <t>330W, 3x5ft, 38Vout typ, 30 to 40V optimal, 43Voc max</t>
  </si>
  <si>
    <t>https://www.solaris-shop.com/content/Longi%20LR6-60HPB-305M%20Specs.pdf</t>
  </si>
  <si>
    <t>product</t>
  </si>
  <si>
    <t>RR0816P-103-D</t>
  </si>
  <si>
    <t>RT0603BRB0710KL</t>
  </si>
  <si>
    <t>RNCF0402BTE10K0</t>
  </si>
  <si>
    <t>RNCF0603DTT10K0</t>
  </si>
  <si>
    <t>temp Change C</t>
  </si>
  <si>
    <t>individual accuracy %</t>
  </si>
  <si>
    <t>individual ppm/C</t>
  </si>
  <si>
    <t>Ratio accuracy %</t>
  </si>
  <si>
    <t>Ratio ppm/C</t>
  </si>
  <si>
    <r>
      <t>ACASA1001</t>
    </r>
    <r>
      <rPr>
        <sz val="11"/>
        <color theme="9"/>
        <rFont val="Calibri"/>
        <family val="2"/>
        <scheme val="minor"/>
      </rPr>
      <t>E</t>
    </r>
    <r>
      <rPr>
        <sz val="11"/>
        <color theme="1"/>
        <rFont val="Calibri"/>
        <family val="2"/>
        <scheme val="minor"/>
      </rPr>
      <t>1002P1AT</t>
    </r>
  </si>
  <si>
    <t>error due to temp chg</t>
  </si>
  <si>
    <t>CL21B106KPQNNWE</t>
  </si>
  <si>
    <t>https://www.digikey.com/product-detail/en/samsung-electro-mechanics/CL21B106KPQNNWE/1276-CL21B106KPQNNWETR-ND/10479841</t>
  </si>
  <si>
    <t>2.4 x 2.4mm, 1mm hi</t>
  </si>
  <si>
    <t>NRH2410T6R8MN</t>
  </si>
  <si>
    <t xml:space="preserve"> -25 to 120C</t>
  </si>
  <si>
    <t>induct. uH</t>
  </si>
  <si>
    <t>mA rating</t>
  </si>
  <si>
    <t>mA saturat.</t>
  </si>
  <si>
    <t>https://www.digikey.com/product-detail/en/taiyo-yuden/NRH2410T6R8MN/587-2391-2-ND/2178910</t>
  </si>
  <si>
    <t>shielding</t>
  </si>
  <si>
    <t>yes</t>
  </si>
  <si>
    <t>wirewound</t>
  </si>
  <si>
    <t>CL31B106KAHNNNE</t>
  </si>
  <si>
    <t>12101C335K4T2A</t>
  </si>
  <si>
    <t>https://www.digikey.com/product-detail/en/samsung-electro-mechanics/CL32B475KCVZNWE/1276-CL32B475KCVZNWETR-ND/10480138</t>
  </si>
  <si>
    <t>GRM32EC72A106KE05L</t>
  </si>
  <si>
    <t>https://www.digikey.com/product-detail/en/murata-electronics/GRM32EC72A106KE05L/490-16266-2-ND/7319245</t>
  </si>
  <si>
    <t>CL32B475KCVZNWE</t>
  </si>
  <si>
    <t>Power Diode, 200Vr max, &gt;= 20A</t>
  </si>
  <si>
    <t>5A: 0.52V@25C, .46V@125C</t>
  </si>
  <si>
    <t>5A: 0.54V@25C, .48V@125C</t>
  </si>
  <si>
    <t>5A: 0.50V@25C typ</t>
  </si>
  <si>
    <t>https://www.st.com/content/ccc/resource/technical/document/datasheet/ab/15/24/37/78/84/45/3a/CD00110358.pdf/files/CD00110358.pdf/jcr:content/translations/en.CD00110358.pdf</t>
  </si>
  <si>
    <t>STTH2002</t>
  </si>
  <si>
    <t>D2PAK, 9x16mm, cathode pad</t>
  </si>
  <si>
    <t>20A: 1.1V@25C, 1.05V@125C</t>
  </si>
  <si>
    <t>https://www.analog.com/media/en/reference-design-documentation/design-notes/dn363f.pdf</t>
  </si>
  <si>
    <t xml:space="preserve">Replace ORing Diodes with MOSFETs to Reduce Heat </t>
  </si>
  <si>
    <t>References:</t>
  </si>
  <si>
    <t>http://www.ti.com/lit/an/slvae57/slvae57.pdf</t>
  </si>
  <si>
    <t>Basics of Ideal Diodes, TI, 2019</t>
  </si>
  <si>
    <t>A simple and inexpensive ideal-diode MOSFET circuit, 2017</t>
  </si>
  <si>
    <t>https://www.powerelectronictips.com/inexpensive-ideal-diode-mosfet-circuit/</t>
  </si>
  <si>
    <t>https://www.analog.com/media/en/technical-documentation/data-sheets/4357fd.pdf</t>
  </si>
  <si>
    <t>9V to 80V Ideal Diode Reduces Heat Dissipation by Order of Magnitude over Schottky</t>
  </si>
  <si>
    <t>https://www.analog.com/media/en/technical-documentation/tech-articles/lt-journal-article/LTMag-V18N01-10-LTC4357-Lum.pdf</t>
  </si>
  <si>
    <t>https://www.digikey.com/product-detail/en/texas-instruments/LM5050MKX-1-NOPB/296-46427-2-ND/2753640</t>
  </si>
  <si>
    <t>LM5050, $0.99, FET controller</t>
  </si>
  <si>
    <t>https://www.digikey.com/product-detail/en/eaton-electronics-division/HCM1A1307V2-560-R/283-HCM1A1307V2-560-RTR-ND/10479031</t>
  </si>
  <si>
    <t>HCM1A1307V2-560-R</t>
  </si>
  <si>
    <t>13 x 12mm, 6.5mm hi</t>
  </si>
  <si>
    <t xml:space="preserve"> -55 to 155C</t>
  </si>
  <si>
    <t>DC Res mΩ</t>
  </si>
  <si>
    <t>combined in parallel</t>
  </si>
  <si>
    <t xml:space="preserve">total mΩ </t>
  </si>
  <si>
    <t>https://www.digikey.com/product-detail/en/sumida-america-components-inc/CDEP147NP-4R5MC-125/CDEP147NP-4R5MC-125-ND/4038406</t>
  </si>
  <si>
    <t>CDEP147NP-4R5MC-125</t>
  </si>
  <si>
    <t>15 x 15mm, 8mm hi</t>
  </si>
  <si>
    <t xml:space="preserve"> -40 to 125C</t>
  </si>
  <si>
    <t>combined in series</t>
  </si>
  <si>
    <t xml:space="preserve">Inductor, total: ~15uH, ~20A, 15mΩ </t>
  </si>
  <si>
    <t>MOSFET, &gt;= 400Vds max, &lt;= 60mOhm</t>
  </si>
  <si>
    <t>https://www.digikey.com/product-detail/en/stmicroelectronics/STB45N40DM2AG/497-16133-2-ND/5724375</t>
  </si>
  <si>
    <t>D2PAK, 9x16mm</t>
  </si>
  <si>
    <t>STB45N40DM2AG</t>
  </si>
  <si>
    <t>https://birds-are-nice.me/ipfs/QmXt1JSG1Hv3pfxeKFktJ8FgZuwd4jwUqe18GTXxjn5QTb/</t>
  </si>
  <si>
    <t>ERA-6AED103V</t>
  </si>
  <si>
    <t>$1.56 GWI arrow price</t>
  </si>
  <si>
    <t>1x SPST</t>
  </si>
  <si>
    <t>50ohm, 3Vpwr</t>
  </si>
  <si>
    <t>5.5V</t>
  </si>
  <si>
    <t>https://www.digikey.com/product-detail/en/on-semiconductor/NLAST4501DFT2G/NLAST4501DFT2GOSTR-ND/921487</t>
  </si>
  <si>
    <t>https://www.digikey.com/product-detail/en/nexperia-usa-inc/74HC4051PW118/1727-3064-2-ND/946649</t>
  </si>
  <si>
    <t>10V</t>
  </si>
  <si>
    <t>Cap: 10uF, 10V, 0805, $0.026, #CL21B106KPQNNWE</t>
  </si>
  <si>
    <t>Capacitors</t>
  </si>
  <si>
    <t>Cap: 10uF, 25V, 1206, $0.044, #CL31B106KAHNNNE</t>
  </si>
  <si>
    <t>Cap: 2.2uF, 100V, 1210, $0.12, #1276-CL32B225KCJSNNF</t>
  </si>
  <si>
    <t>Resistors</t>
  </si>
  <si>
    <t>Shunt</t>
  </si>
  <si>
    <t>Thin Film</t>
  </si>
  <si>
    <t>Inductors</t>
  </si>
  <si>
    <t>Current Shunt Resistor, current sense, 2512, 1%, 3W</t>
  </si>
  <si>
    <t>resistance (mΩ)</t>
  </si>
  <si>
    <t>Thin Film Network</t>
  </si>
  <si>
    <t>Shunt Resistor: 10 to 100mΩ, 2512, 1%, 75ppm/C, 3W, #CSRL3-0R..</t>
  </si>
  <si>
    <t>Shunt Resistor: 1mΩ, 2512, 1%, 50ppm/C, 3W, #CSRL3-0R001F8</t>
  </si>
  <si>
    <t>Res Network: thin film, 1K/10K/1K/10KΩ, 0.05% ratio acc, 7.5ppm/C ratio drift, 0.1% R acc, #ACASA1001E1002P1AT</t>
  </si>
  <si>
    <t>Res: thin film, 0.1% acc, 25ppm/C, 0603, 75V, 0.063W, #ERA-3AEB **</t>
  </si>
  <si>
    <t>Res: thin film, 0.1% acc, 10ppm/C, 0603, 75V, 0.063W, #RT0603BRB07 **</t>
  </si>
  <si>
    <t>Res: thin film, 0.5% acc, 25ppm/C, 0603, 75V, 0.063W, #RR0816P **</t>
  </si>
  <si>
    <t>Res: thin film, 0.5% acc, 25ppm/C, 1206, 200V, 0.25W, #RT1206DRD07 **</t>
  </si>
  <si>
    <t>Res: thin film, 0.1% acc, 25ppm/C, 1206, 200V, 0.25W, #RNCF1206BTE **</t>
  </si>
  <si>
    <t>Zener</t>
  </si>
  <si>
    <t>Zener: 82V, On: 82V @ 5mA, Off: 62V @ 1uA, 18mA max, DO-214AA (SMB), #1SMB5947 M4G</t>
  </si>
  <si>
    <t>Mosfet</t>
  </si>
  <si>
    <t>Mosfet: 400V, 0.072Ω, 38A, D2PAK (9x16mm), #STB45N40DM2AG</t>
  </si>
  <si>
    <t>analog devices 1K price</t>
  </si>
  <si>
    <t>https://www.analog.com/en/products/ad8218.html</t>
  </si>
  <si>
    <t>AD8218BRMZ</t>
  </si>
  <si>
    <t>analog.com price is $1.05</t>
  </si>
  <si>
    <t>0 to 80</t>
  </si>
  <si>
    <t>LTC6102HV</t>
  </si>
  <si>
    <t>$2 (hi)</t>
  </si>
  <si>
    <t>10mx</t>
  </si>
  <si>
    <t>.05mx</t>
  </si>
  <si>
    <t xml:space="preserve">      G = 20 (low)</t>
  </si>
  <si>
    <t>5 to 100</t>
  </si>
  <si>
    <t>Current Sense Amplifier</t>
  </si>
  <si>
    <t>DC-to-DC converter</t>
  </si>
  <si>
    <t>DC-to-DC converter: 3.3Vout, 5%, 30 to 300mA out, 4.5 to 5.5Vin, Isolated, 1W, PCB Mount, 11.6mm x 6.0mm x 10.2mm H, #PDSE1-S5-S3-S</t>
  </si>
  <si>
    <t>Multiplexor / Switch</t>
  </si>
  <si>
    <t>Package</t>
  </si>
  <si>
    <t>Mux: 8:1, 5nA max @ 85C, 108Ω, 5.5Vpwr, 16-TSSOP, #NLAST4051DTR2G</t>
  </si>
  <si>
    <t>74HC4051PW,118</t>
  </si>
  <si>
    <t>Mux: 8:1, 400nA max @ 85C, 140Ω, 10Vpwr, 16-TSSOP, #74HC4051PW,118</t>
  </si>
  <si>
    <t>NLAST4501DFT2G</t>
  </si>
  <si>
    <t>Op Amp</t>
  </si>
  <si>
    <t>TSSOP-14</t>
  </si>
  <si>
    <t>TSSOP-16</t>
  </si>
  <si>
    <t>Op Amp: 4x amp, 25pA @ 85C typ, 4pF, 2mVos mx over temp, 0.5uV/C typ, 10MHz GBP, 81 dB @ 2.5Vpwr typ, 800uA/amp quies, 5.5Vpwr, -0.1 to Vcc+0.1 Vin, 20mV to Vcc-20mVout, TSSOP-14, #TLV9064IPWR</t>
  </si>
  <si>
    <t>Op Amp: 2x amp, 25pA @ 85C typ, 4pF, 2mVos mx over temp, 0.5uV/C typ, 10MHz GBP, 81 dB @ 2.5Vpwr typ, 800uA/amp quies, 5.5Vpwr, -0.1 to Vcc+0.1 Vin, 20mV to Vcc-20mVout, VSSOP-8, #TLV9062IDGKR</t>
  </si>
  <si>
    <t>Op Amp: 1x amp, 25pA @ 85C typ, 4pF, 2mVos mx over temp, 0.5uV/C typ, 10MHz GBP, 81 dB @ 2.5Vpwr typ, 800uA/amp quies, 5.5Vpwr, -0.1 to Vcc+0.1 Vin, 20mV to Vcc-20mVout, VSSOP-8, #TLV9061IDCKR</t>
  </si>
  <si>
    <t>Voltage Reference</t>
  </si>
  <si>
    <t>SOT-23-6</t>
  </si>
  <si>
    <t>Voltage Ref: 2.5Vout, &gt;2.8Vin, 0.08% init acc, 8ppm/C mx, 300uA quies, 4.8uV .1 to 10Hz, 3uVrms 10Hz tto 10KHz noise, SOT-23-6, #MAX6070BAUT25+T</t>
  </si>
  <si>
    <t>Microprocessor</t>
  </si>
  <si>
    <t>Microprocessor: 32bit, M4, 80MHz, 20KB ram, 64KB flash, 3.3V, DAC, ADC, Timers, Comparator, CANbus, Floating Pt, 48VQFN, #XMC4108Q48K64BAXUMA1</t>
  </si>
  <si>
    <t>Power Diode</t>
  </si>
  <si>
    <t>MOSFET</t>
  </si>
  <si>
    <t>total mA rating</t>
  </si>
  <si>
    <t>total induct. uH</t>
  </si>
  <si>
    <t>total amps flow</t>
  </si>
  <si>
    <t>each part amps flow</t>
  </si>
  <si>
    <t>each part pwr (W)</t>
  </si>
  <si>
    <t>total cost $</t>
  </si>
  <si>
    <t>Chip Capacitor</t>
  </si>
  <si>
    <t>https://www.digikey.com/product-detail/en/stmicroelectronics/LD3985M29R/LD3985M29R-ND/1038440</t>
  </si>
  <si>
    <t>Max Vin (V)</t>
  </si>
  <si>
    <t>quiest curr max (uA)</t>
  </si>
  <si>
    <t>max current (mA)</t>
  </si>
  <si>
    <t>SOT-23-5</t>
  </si>
  <si>
    <t>10Hz ..100K nois uVrms</t>
  </si>
  <si>
    <t>Voltage Reg: 2.9Vout, 300mA, 3% out accuracy, 100mVin headroom, 5mΩ esr min, SOT-23-5, #LD3985M29R</t>
  </si>
  <si>
    <t>Packages</t>
  </si>
  <si>
    <t>Ref: i4xx Parts Footprints and Symbols.xls</t>
  </si>
  <si>
    <t>SO-8</t>
  </si>
  <si>
    <t>http://focus.ti.com/lit/an/sbfa015a/sbfa015a.pdf</t>
  </si>
  <si>
    <t>SO-14</t>
  </si>
  <si>
    <t>SO-16</t>
  </si>
  <si>
    <t>TSSOP-8-.65MM</t>
  </si>
  <si>
    <t>8pin tssop, .65mm pitch (not .025") x 6.4mm W x 3mm L = .25"x.15"</t>
  </si>
  <si>
    <t>TSSOP-14-.65MM</t>
  </si>
  <si>
    <t xml:space="preserve">14pin tssop (e.g. natsemi 74vhct74mtc) </t>
  </si>
  <si>
    <t>TSSOP-16-.65MM</t>
  </si>
  <si>
    <t xml:space="preserve">16pin tssop (e.g. natsemi 74vhct112mtc) </t>
  </si>
  <si>
    <t>http://focus.ti.com/lit/ml/mtss001c/mtss001c.pdf</t>
  </si>
  <si>
    <t>http://www.vishay.com/docs/28523/x5rlv.pdf</t>
  </si>
  <si>
    <t>vishay C's</t>
  </si>
  <si>
    <t>http://www.vishay.com/docs/20008/dcrcw.pdf</t>
  </si>
  <si>
    <t>vishay R's</t>
  </si>
  <si>
    <t>ti</t>
  </si>
  <si>
    <t>http://www.standardproducts.philips.com/packaging/pkgoutlines/</t>
  </si>
  <si>
    <t>philips</t>
  </si>
  <si>
    <t>maxim</t>
  </si>
  <si>
    <t>TO-263</t>
  </si>
  <si>
    <t>KTT</t>
  </si>
  <si>
    <t>http://www.onsemi.com/pub/Collateral/418E-01.PDF</t>
  </si>
  <si>
    <t>D2PAK</t>
  </si>
  <si>
    <t>http://www.onsemi.com/pub/Collateral/369A-13.PDF</t>
  </si>
  <si>
    <t>10 x 6.7mm (.263" x .393" x 0.094")</t>
  </si>
  <si>
    <t>DCY</t>
  </si>
  <si>
    <t>http://www.onsemi.com/pub/Collateral/318E-04.PDF</t>
  </si>
  <si>
    <t>6.7 x 7.3mm (.263" x .287" x .065"h)</t>
  </si>
  <si>
    <t>SOT-223</t>
  </si>
  <si>
    <t>http://rocky.digikey.com/WebLib/Panasonic/Web%20data/AN78Lxx,AN78LxxM%20Series%20revised.pdf</t>
  </si>
  <si>
    <t>http://focus.ti.com/lit/ml/mhsi001/mhsi001.pdf</t>
  </si>
  <si>
    <t>SOT-89</t>
  </si>
  <si>
    <t>4.6 x 4.2mm (.165" x .181" x .065" h)</t>
  </si>
  <si>
    <t>SOT-89-3</t>
  </si>
  <si>
    <t>Tc, J to A, C/W</t>
  </si>
  <si>
    <t>Tc, J to C, C/W</t>
  </si>
  <si>
    <t>Panasonic</t>
  </si>
  <si>
    <t>TI</t>
  </si>
  <si>
    <t>On Semi</t>
  </si>
  <si>
    <t>Width (mm)</t>
  </si>
  <si>
    <t>Length (mm)</t>
  </si>
  <si>
    <t>Manuf Dwg</t>
  </si>
  <si>
    <t>8p, 50mil pitch, 3.9mm (.15") body width, 6 x 5mm (.236" x .193")</t>
  </si>
  <si>
    <t>14p, 50mil pitch, 3.9mm (.15") body width</t>
  </si>
  <si>
    <t>16p, 50mil pitch, 3.9mm (.15") body width</t>
  </si>
  <si>
    <t>0402</t>
  </si>
  <si>
    <t>0603</t>
  </si>
  <si>
    <t>0805</t>
  </si>
  <si>
    <t>Vishay</t>
  </si>
  <si>
    <t>DO-214AA-1C-2A</t>
  </si>
  <si>
    <t>DO-214AC-1C-2A</t>
  </si>
  <si>
    <t>SMBJ tvs unidirectiona (show BAR), SMB = DO-214AA = .18" L x .155" w x .096" h (5.6 x 3.9mm), pin1=cathode (bar) and pin2=anode w/ diodes</t>
  </si>
  <si>
    <t>etc</t>
  </si>
  <si>
    <t>VERY GOOD</t>
  </si>
  <si>
    <t>https://www.maximintegrated.com/en/design/packaging/package-information.html?a=1&amp;f=</t>
  </si>
  <si>
    <t>https://www.vishay.com/docs/88485/smbz59xb.pdf</t>
  </si>
  <si>
    <t>https://www.smd.ru/upload/medialibrary/474/sma_dim.pdf</t>
  </si>
  <si>
    <t>SMAJ tvs unidrectional (show BAR), DO-214AC = .18" x .11" x 0.096 h</t>
  </si>
  <si>
    <t>https://www.diodes.com/assets/Package-Files/TSSOP-8.pdf</t>
  </si>
  <si>
    <t>48VQFN</t>
  </si>
  <si>
    <t>https://www.infineon.com/cms/en/product/packages/PG-VQFN/PG-VQFN-48-31/</t>
  </si>
  <si>
    <t>https://www.infineon.com/cms/en/product/packages/</t>
  </si>
  <si>
    <t>Infineon</t>
  </si>
  <si>
    <t>cnet_8p_31mil</t>
  </si>
  <si>
    <t>https://www.mouser.com/datasheet/2/427/acasat-1108558.pdf</t>
  </si>
  <si>
    <t>Resistor or Capacitor Network, 8pins, 3.2mm x 1.6mm (0.12" x 0.06"), 0.8mm (31mil) pitch</t>
  </si>
  <si>
    <t>ADM3050EBRIZ-RL</t>
  </si>
  <si>
    <t>RI-8, 6 x 10.5mm, 1.3mm pitch</t>
  </si>
  <si>
    <t>Ri-8</t>
  </si>
  <si>
    <t>https://www.analog.com/media/en/technical-documentation/data-sheets/ADM3050E.pdf</t>
  </si>
  <si>
    <t>similar to SO-8 yet with extra width, analog devices calls it "RI-8", 6 x 10.5mm, 1.3mm pitch</t>
  </si>
  <si>
    <t>Input Cap, cmn mode, typ (pF)</t>
  </si>
  <si>
    <t>iNA290A4-Q1</t>
  </si>
  <si>
    <t>iNA293A4-Q1</t>
  </si>
  <si>
    <t>SC-70, 5pin</t>
  </si>
  <si>
    <t>Current Sense Amp: 0 to 110V, G=200, 600KHz, 25uVos mx, 0.25uVos/C, 0.25% gain, 0.6mA quies, SC-70 (SOT23-5) #INA290A4-Q1</t>
  </si>
  <si>
    <t>https://www.analog.com/media/en/package-pcb-resources/package/pkg_pdf/ltc-legacy-sc-70/SOT_6_05-08-1638.pdf</t>
  </si>
  <si>
    <t>https://www.bourns.com/docs/product-datasheets/sot23-5.pdf?sfvrsn=266991f1_1</t>
  </si>
  <si>
    <t>5pin SOT23 package (3 x 3mm, 0.95mm pitch)</t>
  </si>
  <si>
    <t>https://www.analog.com/media/en/package-pcb-resources/package/pkg_pdf/sc70ks/ks_5.pdf</t>
  </si>
  <si>
    <t>SC-88A (SC-70-5/SOT-353)</t>
  </si>
  <si>
    <t>Switch: SPST, 10nA max @ 85C, 50Ω, 5.5Vpwr,  SOT-70-5, #NLAST4501DFT2G</t>
  </si>
  <si>
    <t>10.31 x 15 (.405" x .501" x .180" h)</t>
  </si>
  <si>
    <t>Mosfet: 100V, 0.005Ω, 92A, DPAK (7x10mm), #TPH4R10ANL,L1Q</t>
  </si>
  <si>
    <t>Ind: 6.8uH, 570mA rating, 0.5Ω at DC, 2.4 x 2.4 x 1mm, shielded, wirewound, #NRH2410T6R8MN</t>
  </si>
  <si>
    <t>Ind: 56uH, 4A rating, 0.056Ω at DC, 13 x 12 x 6.5mm, shielded, wirewound, #HCM1A1307V2-560-R</t>
  </si>
  <si>
    <t>Cost 1K qty ($)</t>
  </si>
  <si>
    <t>Qty/PCB</t>
  </si>
  <si>
    <t>Total Cost/PCB $</t>
  </si>
  <si>
    <t>Total Area mm^2</t>
  </si>
  <si>
    <t>2.5V uP Apwr</t>
  </si>
  <si>
    <t>Vin Shunt</t>
  </si>
  <si>
    <t>Load Shunt</t>
  </si>
  <si>
    <t>Vout Voltage</t>
  </si>
  <si>
    <t>COM wrt EarthGnd</t>
  </si>
  <si>
    <t>External 8:1 Mux</t>
  </si>
  <si>
    <t>Conditioning</t>
  </si>
  <si>
    <t>Thermistor</t>
  </si>
  <si>
    <t>Thermistor: 10K ohms @ 25C, 1% resistance accuracy, 0603, #NCU18XH103F60RB</t>
  </si>
  <si>
    <t>0.3V, 2.2V</t>
  </si>
  <si>
    <t>2.5V</t>
  </si>
  <si>
    <t>75V</t>
  </si>
  <si>
    <t>cm^2</t>
  </si>
  <si>
    <t>Padding</t>
  </si>
  <si>
    <t>Primary Parts, total area, mm^2</t>
  </si>
  <si>
    <t>PCB  Width and Length, Est, cm</t>
  </si>
  <si>
    <t>Pcb Surface Area, Estimate, cm^2</t>
  </si>
  <si>
    <t>inches ^ 2</t>
  </si>
  <si>
    <t>Additional Misc Parts</t>
  </si>
  <si>
    <t>Cost/Pcb</t>
  </si>
  <si>
    <t>Cost/Watt</t>
  </si>
  <si>
    <t>Specifications</t>
  </si>
  <si>
    <t>Parts Total</t>
  </si>
  <si>
    <t>Total Parts and Labor</t>
  </si>
  <si>
    <t>Cost Estimate</t>
  </si>
  <si>
    <t>digikey price, total:</t>
  </si>
  <si>
    <t>Primary Parts, digikey</t>
  </si>
  <si>
    <t>Raw Pcb, Assembly, Testing, Enclosure</t>
  </si>
  <si>
    <t>Discount from Cheaper Supplier</t>
  </si>
  <si>
    <t>Primary Parts, Cheaper Supplier</t>
  </si>
  <si>
    <t>PCB Surface Area</t>
  </si>
  <si>
    <t>Temp Sensor Switch</t>
  </si>
  <si>
    <t>https://www.digikey.com/product-detail/en/diodes-incorporated/AP2602FNTR-G1/AP2602FNTR-G1DI-ND/4570563</t>
  </si>
  <si>
    <t>AP2602FNTR-G1</t>
  </si>
  <si>
    <t>https://www.digikey.com/product-detail/en/texas-instruments/TMP302CDRLR/296-46459-2-ND/2232596</t>
  </si>
  <si>
    <t>TMP302CDRLR</t>
  </si>
  <si>
    <t>https://www.digikey.com/product-detail/en/toshiba-semiconductor-and-storage/TLP152-TPLE/TLP152-TPLETR-ND/4562827</t>
  </si>
  <si>
    <t>TLP152-TPLE</t>
  </si>
  <si>
    <t>https://engineering.purdue.edu/Courses/ECE433/exp5_5th~6thweek_.pdf</t>
  </si>
  <si>
    <t>Experiment #5 – Gate Driver, Purdue Univ.</t>
  </si>
  <si>
    <t>Driving High Side Mosfets</t>
  </si>
  <si>
    <t>requires ~10V power supply higher than source voltage</t>
  </si>
  <si>
    <t>https://www.digikey.com/product-detail/en/microchip-technology/TC1240AECHTR/TC1240AECHTR-ND/443324</t>
  </si>
  <si>
    <t>TC1240AECHTR</t>
  </si>
  <si>
    <t>https://www.digikey.com/product-detail/en/texas-instruments/LM2765M6X-NOPB/LM2765M6X-NOPBTR-ND/366935</t>
  </si>
  <si>
    <t>LM2765M6X-NOPB</t>
  </si>
  <si>
    <t>https://electronics.stackexchange.com/questions/18884/switching-dc-with-mosfet-p-channel-or-n-channel-low-side-load-or-high-side-loa</t>
  </si>
  <si>
    <t>Mosfets, N and P, low-side and high-side</t>
  </si>
  <si>
    <t>https://www.egr.msu.edu/classes/ece480/capstone/fall14/group08/Documents/How%20to%20Implement%20a%20MOSFET%20with%20a%20Gate%20Driver-1.pdf</t>
  </si>
  <si>
    <t>How to Implement a MOSFET with a Gate Driver</t>
  </si>
  <si>
    <t>https://www.infineon.com/dgdl/Infineon-Bootstrap_Network_Analysis-AN-v01_00-EN.pdf?fileId=5546d462533600a40153559692661096</t>
  </si>
  <si>
    <t>Opto-Isolated Gate Driver</t>
  </si>
  <si>
    <t>High-Side and Low-Side Gate Driver</t>
  </si>
  <si>
    <t>FAN7842</t>
  </si>
  <si>
    <t>NCP81161</t>
  </si>
  <si>
    <t>https://www.electronics-tutorials.ws/transistor/tran_7.html</t>
  </si>
  <si>
    <t>Mosfet Tutorial</t>
  </si>
  <si>
    <r>
      <t>Bootstrap Network Analysis: Focusing on the Integrated Bootstrap Functionality</t>
    </r>
    <r>
      <rPr>
        <sz val="11"/>
        <color rgb="FFFF0000"/>
        <rFont val="Calibri"/>
        <family val="2"/>
        <scheme val="minor"/>
      </rPr>
      <t xml:space="preserve"> (good)</t>
    </r>
  </si>
  <si>
    <t>https://electronics.stackexchange.com/questions/367089/p-channel-mosfet-gate-protection</t>
  </si>
  <si>
    <t>P-Channel Mosfet, Transister as Gate Driver, High Side Load</t>
  </si>
  <si>
    <t>toshiba.semicon-storage.com/info/docget.jsp?did=59460 </t>
  </si>
  <si>
    <r>
      <t>Toshiba App Notes on Driving Mosfets, 22pgs</t>
    </r>
    <r>
      <rPr>
        <sz val="11"/>
        <color rgb="FFFF0000"/>
        <rFont val="Calibri"/>
        <family val="2"/>
        <scheme val="minor"/>
      </rPr>
      <t xml:space="preserve"> (good)</t>
    </r>
  </si>
  <si>
    <t>https://www.google.com/search?q=high+side+mosfet+p+channel+gate+driver&amp;rlz=1C1CHBF_enUS816US816&amp;sxsrf=ACYBGNQLQrGMvrsv5671Oa4Zi3-ObunOgg:1577927091455&amp;tbm=isch&amp;source=iu&amp;ictx=1&amp;fir=UL2TrbGHVzgkrM%253A%252CwAPO6DnwMxsFAM%252C_&amp;vet=1&amp;usg=AI4_-kQbHwdrw3cgAgjTjfxsI6L0uKYsuA&amp;sa=X&amp;ved=2ahUKEwjO3JG-3OPmAhVQn-AKHQZ-CSEQ9QEwAnoECAkQDA#imgrc=mHQnm2zdCFjaaM:&amp;vet=1</t>
  </si>
  <si>
    <t>many schematics showing high side p-channel gate drive</t>
  </si>
  <si>
    <t>https://www.eetimes.com/a-primer-on-high-side-fet-load-switches-part-1-of-2/#</t>
  </si>
  <si>
    <t>A primer on high-side FET load switches (Part 1 of 2)</t>
  </si>
  <si>
    <t>https://www.edn.com/power-tips-94-how-an-upside-down-buck-offers-a-topology-alternative-to-the-non-isolated-flyback/</t>
  </si>
  <si>
    <t>Power Tips #94: How an upside-down buck offers a topology alternative to the non-isolated flyback</t>
  </si>
  <si>
    <t>https://www.st.com/content/ccc/resource/technical/document/datasheet/05/ed/8f/a6/38/22/4b/2a/CD00164671.pdf/files/CD00164671.pdf/jcr:content/translations/en.CD00164671.pdf</t>
  </si>
  <si>
    <t>design</t>
  </si>
  <si>
    <t>no</t>
  </si>
  <si>
    <t>hi-side vin voltage</t>
  </si>
  <si>
    <t>has low-side driver</t>
  </si>
  <si>
    <t>has hi-side driver</t>
  </si>
  <si>
    <t>C boost drive hi-side</t>
  </si>
  <si>
    <t>drive current (mA)</t>
  </si>
  <si>
    <t>Providing Continuous Gate Drive Using a Charge Pump</t>
  </si>
  <si>
    <t>http://www.ti.com/lit/an/slva444/slva444.pdf</t>
  </si>
  <si>
    <t>Solar Panel Materials</t>
  </si>
  <si>
    <t>Corrugated Metal</t>
  </si>
  <si>
    <t>Top Sheet Thickness</t>
  </si>
  <si>
    <t>Bot Sheet Thickness</t>
  </si>
  <si>
    <t>Wavy Sheet Thickness</t>
  </si>
  <si>
    <t>Wavy Elongation</t>
  </si>
  <si>
    <t>total avg thickness</t>
  </si>
  <si>
    <t>material type</t>
  </si>
  <si>
    <t>steel</t>
  </si>
  <si>
    <t>material kg per m^3</t>
  </si>
  <si>
    <t>m^3</t>
  </si>
  <si>
    <t>material vol/m^2</t>
  </si>
  <si>
    <t>material Kg/m^2</t>
  </si>
  <si>
    <t>material LBs/m^2</t>
  </si>
  <si>
    <t>raw material cost/LBs</t>
  </si>
  <si>
    <t>raw material cost/m^2</t>
  </si>
  <si>
    <t>Corrugated Metal, Panel</t>
  </si>
  <si>
    <t>m^2</t>
  </si>
  <si>
    <t>raw material cost</t>
  </si>
  <si>
    <t>Capacitance to store 300W for 8mSec (during DC to AC conversion)</t>
  </si>
  <si>
    <t>I = C * dV/dT,   dT = C * dV/ I,   C = I * dt / dV</t>
  </si>
  <si>
    <t>charge time (Sec)</t>
  </si>
  <si>
    <t>Current (A)</t>
  </si>
  <si>
    <t>https://sparks.gogo.co.nz/capacitor-formulae.html</t>
  </si>
  <si>
    <t>Seconds = 0.5 * C * ( (Vcharged^2 - VDepleted^2) / Watts )</t>
  </si>
  <si>
    <t xml:space="preserve"> C = Seconds  / [ 0.5 *  ( (Vcharged^2 - VDepleted^2) / Watts ) ]</t>
  </si>
  <si>
    <t>Vcharged (V)</t>
  </si>
  <si>
    <t>Vdepleted (V)</t>
  </si>
  <si>
    <t>e.g. 4700uF 600V cap is $130/10, 3.5" diameter x 6" tall, electrolytic, #ERHA601LGC472MFF0M</t>
  </si>
  <si>
    <t>Power Optimizer</t>
  </si>
  <si>
    <t>https://en.wikipedia.org/wiki/Power_optimizer</t>
  </si>
  <si>
    <t>Power Optimizer, wiki</t>
  </si>
  <si>
    <t>https://www.solaris-shop.com/blog/power-optimizers-everything-you-need-to-know/</t>
  </si>
  <si>
    <t>https://www.solaris-shop.com/content/SolarEdge%20Power%20Optimizer%20Specs.pdf</t>
  </si>
  <si>
    <t>https://gridalternatives.org/sites/default/files/se_power_optimizers_installation_guide.pdf</t>
  </si>
  <si>
    <t>List Of Products</t>
  </si>
  <si>
    <t>Installation Guide</t>
  </si>
  <si>
    <t>https://www.researchgate.net/figure/Circuit-diagram-of-the-Proposed-Solar-Power-Optimizer_fig2_308928331</t>
  </si>
  <si>
    <t>Performance Analysis of Solar Power Optimizer for DC Distribution System</t>
  </si>
  <si>
    <t>https://forums.ni.com/t5/Showcasing-Student-Innovation/Intelligent-500W-Solar-Energy-Storage-System/ta-p/3538063?profile.language=en</t>
  </si>
  <si>
    <t>Intelligent 500W Solar Engergy Storage System</t>
  </si>
  <si>
    <t>https://www.energysage.com/solar/101/microinverters-vs-power-optimizers/</t>
  </si>
  <si>
    <t>Microinverters vs. Power Optimizers</t>
  </si>
  <si>
    <t>https://www.energysage.com/solar/101/string-inverters-microinverters-power-optimizers/</t>
  </si>
  <si>
    <t>Comparing all the electrical options</t>
  </si>
  <si>
    <t>https://instylesolar.com/blog/2018/02/12/product-review-solaredge-dc-optimizers/</t>
  </si>
  <si>
    <t>SolarEdge Linked To Central Controller</t>
  </si>
  <si>
    <t>https://www.solaredge.com/sites/default/files/solaredge-communication_options_application_note_v2_250_and_above.pdf</t>
  </si>
  <si>
    <t>Communication Options</t>
  </si>
  <si>
    <t>Solaris SolarEdge Power Optimizers</t>
  </si>
  <si>
    <t xml:space="preserve">  Ch7 -- Master controller communicates to LAN via: Rs485, Zigbee, Ethernet, WiFi, GSM cellular </t>
  </si>
  <si>
    <t>https://www.solaredge.com/sites/default/files/se_application_fixed_string_voltage.pdf</t>
  </si>
  <si>
    <t>Creating Fixed String Voltage</t>
  </si>
  <si>
    <t>http://www.b-solar.com/Pictures/Monofacial%20TG18.5BR_D200.pdf</t>
  </si>
  <si>
    <t>Monocrystalline Silicon Solar Cell, 0.5mm thick cell, 180um silicon layer</t>
  </si>
  <si>
    <t>https://www.amazon.com/VIKOCELL-10Pcs-156MM-Monocrystalline-Silicon/dp/B06X9JS922/ref=cm_cr_arp_d_product_top?ie=UTF8</t>
  </si>
  <si>
    <t>VIKOCELL 10Pcs 156MM 5W Monocrystalline Silicon Solar Cell 6x6 for DIY Solar Panel</t>
  </si>
  <si>
    <t>https://www.amazon.com/dp/B06XJV7JYQ/ref=cm_sw_em_r_mt_dp_U_L62dEbXDKWK0F</t>
  </si>
  <si>
    <t>VIKOCELL 10Pcs 156MM 4.5W Polycrystalline Silicon Solar Panel Solar Cell 6x6 for DIY Solar Panel</t>
  </si>
  <si>
    <t>Minimum Bend Radius</t>
  </si>
  <si>
    <t>https://repository.asu.edu/attachments/194781/content/Flexible%20Modules%20Using_2016.pdf</t>
  </si>
  <si>
    <t>Flexible modules using &lt;70 μm thick silicon solar cells</t>
  </si>
  <si>
    <t>https://www.powerfilmsolar.com/products/rollable-solar-panels/</t>
  </si>
  <si>
    <t>Rollable Film, e.g. 3" diameter</t>
  </si>
  <si>
    <t>https://www.digikey.com/short/zch597</t>
  </si>
  <si>
    <t>Monocrystalline Silicon Solar Cell, multiple products, ~2mm thick</t>
  </si>
  <si>
    <t>Silicon Cells (e.g. 6 x 6 inches)</t>
  </si>
  <si>
    <t>Bendable Monocrystalline Panels</t>
  </si>
  <si>
    <t>https://www.amazon.com/dp/B07BMQRNXZ/ref=psdc_2236628011_t3_B07XZ4L9WD</t>
  </si>
  <si>
    <t>Renogy 50 Watt 12 Volt Extremely Flexible Monocrystalline Solar Panel - Ultra Lightweight, Ultra Thin, Up to 248 Degree Arc, for RV, Boats, Roofs, Uneven Surfaces</t>
  </si>
  <si>
    <t>https://www.renogy.com/50-watt-12-volt-flexible-monocrystalline-solar-panel/</t>
  </si>
  <si>
    <t>Datasheet</t>
  </si>
  <si>
    <t>https://www.engineering.com/calculators/beams.htm</t>
  </si>
  <si>
    <t>length (cm)</t>
  </si>
  <si>
    <t>REF:</t>
  </si>
  <si>
    <t>https://www.thefabricator.com/thefabricator/article/bending/how-to-calculate-the-air-formed-radius-of-different-bend-angles</t>
  </si>
  <si>
    <t>Radius Given Deflection</t>
  </si>
  <si>
    <t>Calculate Deflection Given Force</t>
  </si>
  <si>
    <t>Deflection Given Force</t>
  </si>
  <si>
    <t>radius (cm)</t>
  </si>
  <si>
    <t>deflection (cm)</t>
  </si>
  <si>
    <t>https://en.wikipedia.org/wiki/FR-4</t>
  </si>
  <si>
    <t>Epoxy Glass Fr4</t>
  </si>
  <si>
    <t>https://www.onsemi.com/pub/Collateral/AND9596-D.PDF</t>
  </si>
  <si>
    <t>A Quick PCB Thermal Calculation for Power Electronic Devices with Exposed Pad Packages</t>
  </si>
  <si>
    <t>http://www.ti.com/lit/an/tida030/tida030.pdf</t>
  </si>
  <si>
    <t>Thermal Comparison of FR-4 and Insulated Metal Substrate PCB for GaN Inverter</t>
  </si>
  <si>
    <t>Thermal Design</t>
  </si>
  <si>
    <t>Thermal Considerations for Designing a GaN Power Stage</t>
  </si>
  <si>
    <t>http://www.ti.com/lit/an/snoaa14a/snoaa14a.pdf</t>
  </si>
  <si>
    <t>in^2 / W</t>
  </si>
  <si>
    <t>http://www.ti.com/lit/an/snva419c/snva419c.pdf</t>
  </si>
  <si>
    <t># of in^2</t>
  </si>
  <si>
    <t># of Watts</t>
  </si>
  <si>
    <t>in^2/W</t>
  </si>
  <si>
    <t xml:space="preserve"> &gt;&gt; we get a 40C rise if we let pcb sit in air</t>
  </si>
  <si>
    <t>https://www.mouser.com/datasheet/2/2/Aavid-Board-Level-Heatsinks-Catalog-2018-1507171.pdf</t>
  </si>
  <si>
    <t>AAVID -- How to Select a Heat Sink</t>
  </si>
  <si>
    <t>https://www.digikey.com/product-detail/en/laird-technologies-thermal-materials/A15037-002/926-1488-ND/4259637</t>
  </si>
  <si>
    <t>Thermal Pad, $0.15 for TO-220, 4KV, 10mils thick, 1C/Watt</t>
  </si>
  <si>
    <t>Panel #1</t>
  </si>
  <si>
    <t>Panel #2</t>
  </si>
  <si>
    <t>Panel #3</t>
  </si>
  <si>
    <t>Total Power</t>
  </si>
  <si>
    <t>MPPT Point</t>
  </si>
  <si>
    <t>Target String Voltage</t>
  </si>
  <si>
    <t>Target String Current</t>
  </si>
  <si>
    <t>Max PV Power (Converter Input)</t>
  </si>
  <si>
    <t>Converter Output Voltage</t>
  </si>
  <si>
    <t>Actual String Output Voltage</t>
  </si>
  <si>
    <t>3 Panels In A String</t>
  </si>
  <si>
    <t>Power Output From String</t>
  </si>
  <si>
    <t>https://media.digikey.com/pdf/Data%20Sheets/Bergquist%20PDFs/ThermalCladSelectionGuide.pdf</t>
  </si>
  <si>
    <t>Thermal Solutions For Surface Mount Power Applications</t>
  </si>
  <si>
    <t>https://www.maximintegrated.com/en/design/technical-documents/tutorials/1/1051.html</t>
  </si>
  <si>
    <t>SEPIC EQUATIONS AND COMPONENT RATINGS, TUTORIALS 1051</t>
  </si>
  <si>
    <t>LTC4357</t>
  </si>
  <si>
    <t xml:space="preserve">List of Parts at Digi: </t>
  </si>
  <si>
    <t>https://www.digikey.com/short/zcb3cv</t>
  </si>
  <si>
    <t>http://www.ti.com/lit/ds/symlink/lm74700-q1.pdf</t>
  </si>
  <si>
    <t>lm74700-q1</t>
  </si>
  <si>
    <t>80Vin, n-channel mosfet controller, -25mV Drain to Source turns off MOSFET, includes charge pump</t>
  </si>
  <si>
    <t>65Vin, n-channel mosfet controller, includes charge pump</t>
  </si>
  <si>
    <t>https://www.diodes.com/products/power-management/gate-drivers/</t>
  </si>
  <si>
    <t>Diodes Inc, Gate Driver Tutorial</t>
  </si>
  <si>
    <t>Gate Drive</t>
  </si>
  <si>
    <t>Gate Charge (pC)</t>
  </si>
  <si>
    <t>75nC typ, 10Vgs</t>
  </si>
  <si>
    <t>Gate Cap (pF)</t>
  </si>
  <si>
    <t>6300pF mx</t>
  </si>
  <si>
    <t>Gate Driver (A)</t>
  </si>
  <si>
    <t>I (Amp) = C * dV / dT</t>
  </si>
  <si>
    <t>time (Sec) = charge (Q) / current (Amps)</t>
  </si>
  <si>
    <t xml:space="preserve">charge (Q) = current (Amps) * time (Sec)   </t>
  </si>
  <si>
    <t>C = I (Amps) * dT / dV</t>
  </si>
  <si>
    <t>Source Cap Droop V</t>
  </si>
  <si>
    <t>Source Cap uF</t>
  </si>
  <si>
    <t>target nSec charge time</t>
  </si>
  <si>
    <t xml:space="preserve">Mosfet </t>
  </si>
  <si>
    <t>LM5050-1</t>
  </si>
  <si>
    <t>75Vin (100V surge), n-channel mosfet controller, high side, includes charge pump</t>
  </si>
  <si>
    <t>300, 600</t>
  </si>
  <si>
    <t>350, 650</t>
  </si>
  <si>
    <t>4A (12V, 3ohm)</t>
  </si>
  <si>
    <t>Half Bridge - turn on A or B</t>
  </si>
  <si>
    <t>1.8A/1.9A</t>
  </si>
  <si>
    <t>http://www.ti.com/lit/an/slyt584/slyt584.pdf</t>
  </si>
  <si>
    <t>https://www.analog.com/media/en/technical-documentation/technical-articles/M138-Controller_EN.pdf</t>
  </si>
  <si>
    <t>Low IQ Ideal Diode Controller with Reverse Input Protection for Automotive, LTC4359</t>
  </si>
  <si>
    <t>Comparator</t>
  </si>
  <si>
    <t>https://www.digikey.com/product-detail/en/maxim-integrated/MAX9030AUT-T/MAX9030AUT-TTR-ND/1498280</t>
  </si>
  <si>
    <t>2.5 to 5.5V</t>
  </si>
  <si>
    <t>Hysteresis (mV)</t>
  </si>
  <si>
    <t>Vin (V)</t>
  </si>
  <si>
    <t>0V to Vpwr-1.1</t>
  </si>
  <si>
    <t>Delay uS</t>
  </si>
  <si>
    <t>0.23uS @ 10mVdiff</t>
  </si>
  <si>
    <t>Input Vos Max (mV)</t>
  </si>
  <si>
    <t>TC75S57FU(TE85L,F)</t>
  </si>
  <si>
    <t>0V to Vpwr-0.9</t>
  </si>
  <si>
    <t>3 to 6V</t>
  </si>
  <si>
    <t>1pA ty @ 25C</t>
  </si>
  <si>
    <t>0.007uS @ 100mVdiff</t>
  </si>
  <si>
    <t>https://www.digikey.com/product-detail/en/toshiba-semiconductor-and-storage/TC75S57FU-TE85LF/TC75S57FU-TE85LF-TR-ND/4516338</t>
  </si>
  <si>
    <t>?</t>
  </si>
  <si>
    <t>Input Voltage for DC to AC Converter</t>
  </si>
  <si>
    <t>Target Vout (VAC)</t>
  </si>
  <si>
    <t>Additional (%)</t>
  </si>
  <si>
    <t>DCV Input (V)</t>
  </si>
  <si>
    <t>https://www.electronicdesign.com/power-management/article/21798171/fundamentals-of-buck-converter-efficiency</t>
  </si>
  <si>
    <t>Buck and Boost Converters, DC-to-DC</t>
  </si>
  <si>
    <t>Fundamentals of Buck Converter Efficiency</t>
  </si>
  <si>
    <t>Efficiency of Buck Converter, Rohm</t>
  </si>
  <si>
    <t>http://rohmfs.rohm.com/en/products/databook/applinote/ic/power/switching_regulator/buck_converter_efficiency_app-e.pdf</t>
  </si>
  <si>
    <t>https://e2e.ti.com/cfs-file/__key/communityserver-discussions-components-files/196/buck-_2800_2_2900_.xls</t>
  </si>
  <si>
    <t>https://www.onsemi.com/pub/Collateral/DC%20DC%20SIMULATION%20TOOL.XLSM</t>
  </si>
  <si>
    <t>(good)</t>
  </si>
  <si>
    <t>http://ww1.microchip.com/downloads/en/DeviceDoc/Power%20MOSFET%20Loss%20Calculator%20v1.1.xlsm</t>
  </si>
  <si>
    <t>https://e2e.ti.com/cfs-file/__key/communityserver-discussions-components-files/188/UCC29950-Design-Calculator.xlsx</t>
  </si>
  <si>
    <t>file "buck.xls, ti"</t>
  </si>
  <si>
    <t>file "boost, ucc28019, mosfet, D1, TI.xlsx"</t>
  </si>
  <si>
    <t>file "Buck, Power MOSFET Loss Calculator v1.1.xlsm"</t>
  </si>
  <si>
    <t>file "OnSemi, Buck, VERY GOOD.xlsm"</t>
  </si>
  <si>
    <t>LT8362</t>
  </si>
  <si>
    <t>Boost Converter, &gt;= 60Vin</t>
  </si>
  <si>
    <t>60Vin, boost inverter</t>
  </si>
  <si>
    <t>lm5022</t>
  </si>
  <si>
    <t>60Vin, boost inverter, external mosfet / L / C / diode</t>
  </si>
  <si>
    <t>https://www.monolithicpower.com/en/documentview/productdocument/index/version/2/document_type/Datasheet/lang/en/sku/MP6003/document_id/1137</t>
  </si>
  <si>
    <t>MP6003</t>
  </si>
  <si>
    <t>120Vin, flyback boost, external transformer and L</t>
  </si>
  <si>
    <t>https://toshiba.semicon-storage.com/info/docget.jsp?did=59460</t>
  </si>
  <si>
    <t>MOSFET Gate Drive Circuit, Toshiba, 2018, 22pgs</t>
  </si>
  <si>
    <t>Vbs quiesent uA</t>
  </si>
  <si>
    <t>Ap3012</t>
  </si>
  <si>
    <t>https://www.eleccircuit.com/12-6v-negative-voltage-regulator-using-pnp-emitter-follower/</t>
  </si>
  <si>
    <t>Negative Voltage Regulator using PNP Transistor and Zener Diode</t>
  </si>
  <si>
    <t>Creating 11Vgs For High Side MOSFETS</t>
  </si>
  <si>
    <t xml:space="preserve">C:\Program Files (x86)\DesignSoft\Tina 9 - TI\EXAMPLES\Smps\LM4040A20 </t>
  </si>
  <si>
    <t xml:space="preserve">2V zener, </t>
  </si>
  <si>
    <t>C:\Program Files (x86)\DesignSoft\Tina 9 - TI\EXAMPLES\Smps\LM5088</t>
  </si>
  <si>
    <t>C:\Program Files (x86)\DesignSoft\Tina 9 - TI\EXAMPLES\Smps\LM5050</t>
  </si>
  <si>
    <t>Ideal Diode Controller, external Mosfet, Lm5050, $1.03</t>
  </si>
  <si>
    <t>C:\Program Files (x86)\DesignSoft\Tina 9 - TI\EXAMPLES\Smps\LM5116</t>
  </si>
  <si>
    <t>http://www.ti.com/power-management/non-isolated-dc-dc-switching-regulators/step-up-boost/products.html#p238max=41;100</t>
  </si>
  <si>
    <t>C:\Program Files (x86)\DesignSoft\Tina 9 - TI\EXAMPLES\Smps\TPS51124</t>
  </si>
  <si>
    <t>Synchronous Buck</t>
  </si>
  <si>
    <t>C:\Program Files (x86)\DesignSoft\Tina 9 - TI\EXAMPLES\Smps\    General   \  Sync_Buck.tsc</t>
  </si>
  <si>
    <t>Basic Buck Converter -- Implemented w/ Op Amps</t>
  </si>
  <si>
    <t>C:\Program Files (x86)\DesignSoft\Tina 9 - TI\EXAMPLES\Smps\    General   \  Basic_Buck_Converter.tsc</t>
  </si>
  <si>
    <t>Step-up (boost), List of 25 TI Parts</t>
  </si>
  <si>
    <t>http://www.ti.com/product/LM5122/technicaldocuments</t>
  </si>
  <si>
    <t>http://www.ti.com/lit/ug/ssqu008a/ssqu008a.pdf</t>
  </si>
  <si>
    <t>https://www.petervis.com/electronics%20guides/voltage-regulator-using-transistor/voltage-regulator-using-transistor.html</t>
  </si>
  <si>
    <t>Build Voltage Regulator with a Transistor</t>
  </si>
  <si>
    <t>Voltage Regulator using Transistor</t>
  </si>
  <si>
    <t>ZXTR2012 -- NPN Transistor, 12Vzener, 150K Resistor implements 12V regulator</t>
  </si>
  <si>
    <t>https://www.diodes.com/assets/Datasheets/ZXTR2012K.pdf</t>
  </si>
  <si>
    <t>9V-12.6V Negative Voltage Regulator using PNP Emitter Follower</t>
  </si>
  <si>
    <t>TI's Boost Experiment Book (list of 10 reference boards)</t>
  </si>
  <si>
    <t>Lm5122 Sync Boost, Example, snvm495b.tsc</t>
  </si>
  <si>
    <t>downloaded from ti.com</t>
  </si>
  <si>
    <t>https://www.digikey.com/product-detail/en/texas-instruments/UCC27714DR/296-42701-2-ND/5423464</t>
  </si>
  <si>
    <t>UCC27714DR</t>
  </si>
  <si>
    <t>4A/4A</t>
  </si>
  <si>
    <t>Ucc2714, 4A Half-Bridge Gate Driver, Example from Ti.com, slum494.tsc</t>
  </si>
  <si>
    <t>http://www.ti.com/lit/an/snva803/snva803.pdf</t>
  </si>
  <si>
    <t>PCB Layout Guidelines between Gate Controller and Mosfet</t>
  </si>
  <si>
    <t>http://www.ti.com/lit/ug/snvu205/snvu205.pdf</t>
  </si>
  <si>
    <t>Tina Simulation: Lm5122 Sync Boost, Example, snvm495b.tsc</t>
  </si>
  <si>
    <t>Reference Board, Lm5122</t>
  </si>
  <si>
    <t>LM5122 Synchronous Boost Converter</t>
  </si>
  <si>
    <t>Under the Hood of a Multiphase Synchronous Rectified Boost Converter</t>
  </si>
  <si>
    <t>https://www.ti.com/seclit/wp/slup323/slup323.pdf</t>
  </si>
  <si>
    <t>TI WebBench: TiReport_Lm5122_Sync_Boost_300W_35-48Vin_50Vout_0.3Vpp_98-99Eff.pdf</t>
  </si>
  <si>
    <t>http://www.ti.com/lit/wp/slyy062/slyy062.pdf</t>
  </si>
  <si>
    <t>How to design boost, SEPIC and flyback regulators with wide VIN boost power management ICs</t>
  </si>
  <si>
    <t>http://e2e.ti.com/blogs_/b/powerhouse/archive/2018/09/17/how-to-add-overvoltage-protection-to-a-synchronous-boost-controller</t>
  </si>
  <si>
    <t>How to add overvoltage protection to a synchronous boost controller</t>
  </si>
  <si>
    <t>4.5A/4.5A</t>
  </si>
  <si>
    <t>2.5V to 16Vin, &lt;= 29Vout, Vout &gt; Vin, external inductor, 3.5mA quiesent</t>
  </si>
  <si>
    <t>AAT1230ITP-T1</t>
  </si>
  <si>
    <t>https://www.digikey.com/product-detail/en/skyworks-solutions-inc/AAT1230ITP-T1/1287-AAT1230ITP-T1-CHP/3788713</t>
  </si>
  <si>
    <t>2.5V to 5.5Vin, &lt; 18Vout, external inductor and diode, 2mA quiesent, 0.5mm pitch pins</t>
  </si>
  <si>
    <t>Ideal Diode Controller (senses voltage &amp; drives mosfet)</t>
  </si>
  <si>
    <t>Article: Negative Voltage Regulator using PNP Transistor and Zener Diode</t>
  </si>
  <si>
    <t>Synchronous Boost (LM5122)</t>
  </si>
  <si>
    <t>Synchronous Buck (LM5116)</t>
  </si>
  <si>
    <t>LM5116 Synchronous Buck Converter</t>
  </si>
  <si>
    <t>datasheet:</t>
  </si>
  <si>
    <t>http://www.ti.com/lit/ds/symlink/lm5116.pdf</t>
  </si>
  <si>
    <t>https://www.ti.com/product/LM5116?keyMatch=LM5116&amp;tisearch=Search-EN-technicaldocument&amp;usecase=part-number</t>
  </si>
  <si>
    <t>https://www.ti.com/lit/sg/slyt710a/slyt710a.pdf</t>
  </si>
  <si>
    <t>Quick Reference Guide, Nice Summary</t>
  </si>
  <si>
    <t>Buck or Boost, http://www.ti.com/lit/an/slyt584/slyt584.pdf</t>
  </si>
  <si>
    <t>includes math</t>
  </si>
  <si>
    <t>Buck and Boost Converters, Wiki</t>
  </si>
  <si>
    <t>OPA837</t>
  </si>
  <si>
    <t>$.88 ti.com</t>
  </si>
  <si>
    <t>660nA ot</t>
  </si>
  <si>
    <t>25pA</t>
  </si>
  <si>
    <t xml:space="preserve"> -0.2V to (Vcc-1200mV)</t>
  </si>
  <si>
    <t>100mV to (Vcc-200mV)</t>
  </si>
  <si>
    <t>https://www.digikey.com/product-detail/en/texas-instruments/OPA837IDBVR/296-49253-2-ND/7691356</t>
  </si>
  <si>
    <t>https://www.digikey.com/product-detail/en/texas-instruments/LMH6611MKX-NOPB/LMH6611MKX-NOPB-ND/1840714</t>
  </si>
  <si>
    <t>LMH6611MKX</t>
  </si>
  <si>
    <t>11uA ot</t>
  </si>
  <si>
    <t>4 typ</t>
  </si>
  <si>
    <t>25nS on graph</t>
  </si>
  <si>
    <t>80mV to (Vcc-80mV)</t>
  </si>
  <si>
    <t>https://www.digikey.com/product-detail/en/texas-instruments/LM7705MMX-NOPB/296-42679-2-ND/2020262</t>
  </si>
  <si>
    <t>LM7705MMX/NOPB</t>
  </si>
  <si>
    <t>3 to 5.5Vin</t>
  </si>
  <si>
    <t>TSSOP-8</t>
  </si>
  <si>
    <t>Op Amp, Rail to Rail Input, 1x/2x/4x circuits, &lt;= 2mVos, fast &gt;= 50MHz GBW</t>
  </si>
  <si>
    <t>https://www.tina.com/document/</t>
  </si>
  <si>
    <t>http://www.ti.com/lit/ug/sbou052a/sbou052a.pdf</t>
  </si>
  <si>
    <t>https://www.tina.com/docs/v12/Tina-v12-manual.pdf</t>
  </si>
  <si>
    <t>User's Manual, 280pg PDF</t>
  </si>
  <si>
    <t>Getting Started, 32pg PDF</t>
  </si>
  <si>
    <t>TLV9062_OpAmp_3stage_G200.TSC</t>
  </si>
  <si>
    <t>Opa837, OpAmp, G=250.TSC</t>
  </si>
  <si>
    <t>Tlv9064 (2mVos, $0.35, 10MHz) - 3 stages, G=6/stage</t>
  </si>
  <si>
    <t>Min Vin mV</t>
  </si>
  <si>
    <t>Total IC $</t>
  </si>
  <si>
    <t>Current Sense Amplifiers:</t>
  </si>
  <si>
    <t>Current Sense Measurement, Low Side (e.g. 0 to 10mV across shunt at GND)</t>
  </si>
  <si>
    <t>Current Sense Amplifiers, TI, 2019</t>
  </si>
  <si>
    <t>https://www.digikey.com/product-detail/en/texas-instruments/INA180A2IDBVR/296-47653-2-ND/8132987</t>
  </si>
  <si>
    <t>INA180</t>
  </si>
  <si>
    <t>80uA ot</t>
  </si>
  <si>
    <t xml:space="preserve"> -0.3V to 26V fixed</t>
  </si>
  <si>
    <t>5mV to (Vcc-30mV)</t>
  </si>
  <si>
    <t>Op Amp, &lt; 100uVos max over temp</t>
  </si>
  <si>
    <t>https://www.digikey.com/product-detail/en/on-semiconductor/NCS325SN2T1G/NCS325SN2T1GOSTR-ND/5257885</t>
  </si>
  <si>
    <t>NCS325SN2T1G, OnSemi</t>
  </si>
  <si>
    <t>300KHz</t>
  </si>
  <si>
    <t>100mV to (Vcc-100mV)</t>
  </si>
  <si>
    <t>50uV max 25C</t>
  </si>
  <si>
    <t>https://www.electronics-tutorials.ws/opamp/opamp_4.html</t>
  </si>
  <si>
    <t>Summing Op Amps</t>
  </si>
  <si>
    <t>https://www.digikey.com/product-detail/en/texas-instruments/TLV3541IDR/296-45062-2-ND/6553878</t>
  </si>
  <si>
    <t>300pA 70C graph</t>
  </si>
  <si>
    <t>60dB min</t>
  </si>
  <si>
    <t>300mV to (Vcc-300mV)</t>
  </si>
  <si>
    <t>TLV3541iDR</t>
  </si>
  <si>
    <t>TLV9064_OpAmp_3stage_Inverter_2mV_Offset_G250.TSC</t>
  </si>
  <si>
    <t>similar to above yet remove Vos with -3mV offset</t>
  </si>
  <si>
    <t>Stage 1: Opa837 (.27mVos, $0.88, 88MHz) G=10,  Stage 2&amp;3: Tlv9062 (2mVos, $0.22, 10MHz)</t>
  </si>
  <si>
    <t>TLV9064_TLV3541_OpAmp_3stage_Inverter_2mV_Offset_G250.TSC</t>
  </si>
  <si>
    <t>Stage 1&amp;2: Tlv9062 G=3 (2mVos, $0.22, 10MHz), Stage 3: Tlv3541 G=16 (10mVos, $0.57, 100MHz, 150V/uSec)</t>
  </si>
  <si>
    <t>BW1 (MHz)</t>
  </si>
  <si>
    <t>BW2 (MHz)</t>
  </si>
  <si>
    <t>BW3 (MHz)</t>
  </si>
  <si>
    <t>Gain 1</t>
  </si>
  <si>
    <t>Gain 2</t>
  </si>
  <si>
    <t>Gain 3</t>
  </si>
  <si>
    <t>Gain Total</t>
  </si>
  <si>
    <t>I did not make this (g=2.6*2.6*24), yet this is a possibility -- note that TLV3541 Vos is 10mV and quiesent is 6mA -- very high !</t>
  </si>
  <si>
    <t>A1_Vos</t>
  </si>
  <si>
    <t>A1_Out</t>
  </si>
  <si>
    <t>A1_Gain</t>
  </si>
  <si>
    <t>A1 Input</t>
  </si>
  <si>
    <t>A2 Input</t>
  </si>
  <si>
    <t>A1_Offset</t>
  </si>
  <si>
    <t>A2_Offset</t>
  </si>
  <si>
    <t>A2_Vos</t>
  </si>
  <si>
    <t>A2_Gain</t>
  </si>
  <si>
    <t>Solar Micro Inverter Modeling and Reliability, Thesis, Ranganatha, AZ State Univ</t>
  </si>
  <si>
    <t>Micro Inverters</t>
  </si>
  <si>
    <t>https://repository.asu.edu/attachments/162120/content/ManchanahalliRanganatha_asu_0010N_15408.pdf</t>
  </si>
  <si>
    <t>TLV9064_TLV3541_OpAmp_3stage_Inverter_-10mV_Offset_G250, v3.TSC</t>
  </si>
  <si>
    <t>Stage 1&amp;2: Tlv9062 G=2.2 (2mVos, $0.22, 10MHz), Stage 3: Tlv3541 G=20 (10mVos, $0.57, 100MHz, 150V/uSec., 6mA quiesent !!!)</t>
  </si>
  <si>
    <t>Simulations</t>
  </si>
  <si>
    <t>Sine Wave Delay uSec</t>
  </si>
  <si>
    <t>Squar Wave Delay uSec</t>
  </si>
  <si>
    <t>A3 Input</t>
  </si>
  <si>
    <t>A3_Offset</t>
  </si>
  <si>
    <t>A3_Vos</t>
  </si>
  <si>
    <t>A3_Gain</t>
  </si>
  <si>
    <t>A3_Out</t>
  </si>
  <si>
    <t>&lt;&lt; too high (we want this &lt; 2.5V)</t>
  </si>
  <si>
    <t>Clock Freq (KHz)</t>
  </si>
  <si>
    <t>Clock Period uSec</t>
  </si>
  <si>
    <t>Avg Current to Cap, mA</t>
  </si>
  <si>
    <t>Cap Voltage</t>
  </si>
  <si>
    <t>Pwr To Cap (mW)</t>
  </si>
  <si>
    <t>Input Voltage for DC to AC Converter (e.g. 2nd stage of string inverter)</t>
  </si>
  <si>
    <t>Reference Designs</t>
  </si>
  <si>
    <t>Solar Panel Equivalent Circuit</t>
  </si>
  <si>
    <t>https://www.mdpi.com/1996-1073/7/7/4098/pdf</t>
  </si>
  <si>
    <t>https://www.mdpi.com/2076-3417/8/5/655/pdf</t>
  </si>
  <si>
    <t>Photovoltaic Cell and Module I-V Characteristic Approximation Using Bézier Curves</t>
  </si>
  <si>
    <t>Explicit Expressions for Solar Panel Equivalent Circuit Parameters Based on Analytical Formulation and the Lambert W-Function</t>
  </si>
  <si>
    <t>http://www.ti.com/tool/TIDM-SOLAR-DCDC?keyMatch=SOLAR&amp;tisearch=Search-EN-everything#technicaldocuments</t>
  </si>
  <si>
    <t>http://www.ti.com/lit/df/tidr756/tidr756.pdf</t>
  </si>
  <si>
    <t>http://www.ti.com/lit/ug/tidu404/tidu404.pdf</t>
  </si>
  <si>
    <t>Users Guide:</t>
  </si>
  <si>
    <t>Schematic:</t>
  </si>
  <si>
    <t>http://www.ti.com/lit/ug/tidu400/tidu400.pdf</t>
  </si>
  <si>
    <t>Software:</t>
  </si>
  <si>
    <t>http://www.ti.com/lit/wp/slyy143/slyy143.pdf</t>
  </si>
  <si>
    <t xml:space="preserve">Demystifying high-voltage power electronics for solar inverters </t>
  </si>
  <si>
    <t>https://www.digikey.com/product-detail/en/kemet/MPC0750LR68C/399-10968-2-ND/4291034</t>
  </si>
  <si>
    <t>MPC0750LR68C</t>
  </si>
  <si>
    <t>8 x 6mm, 5mm hi</t>
  </si>
  <si>
    <t xml:space="preserve"> -20 to 120C</t>
  </si>
  <si>
    <t>http://www.ti.com/tool/TIDM-SOLARUINV</t>
  </si>
  <si>
    <t>http://www.ti.com/tool/TIDM-HV-1PH-DCAC</t>
  </si>
  <si>
    <t>http://www.ti.com/lit/ug/tidu405b/tidu405b.pdf</t>
  </si>
  <si>
    <t>http://www.ti.com/lit/df/tidr767a/tidr767a.pdf</t>
  </si>
  <si>
    <t>http://www.ti.com/lit/ug/tidub21c/tidub21c.pdf</t>
  </si>
  <si>
    <t>http://www.ti.com/lit/ug/tiduay6d/tiduay6d.pdf</t>
  </si>
  <si>
    <t>380Vin, 110VAC out, 600W (string inverter)</t>
  </si>
  <si>
    <t>Single-Phase Inverter, Voltage Source &amp; Grid Connected, TIDM-HV-1PH-DCAC</t>
  </si>
  <si>
    <t>Guide #2:</t>
  </si>
  <si>
    <t>300VDC in, 400VDC out, 500W</t>
  </si>
  <si>
    <t>C2000 Solar DC/DC Converter, MPPT, TIDM-SOLAR-DCDC</t>
  </si>
  <si>
    <t>http://www.ti.com/lit/df/tidrj26a/tidrj26a.pdf</t>
  </si>
  <si>
    <t>Grid-tied Solar Micro Inverter, MPPT, 200W, TMS320F28035, TIDM-SOLARUINV</t>
  </si>
  <si>
    <t>48Vin, 110VAC out, 140W (micro inverter)</t>
  </si>
  <si>
    <t>TPS40060, Buck, 2x External Mosfet, 48Vin, 4Vout, 4W.TSC</t>
  </si>
  <si>
    <t>http://www.ti.com/product/TPS40060/toolssoftware</t>
  </si>
  <si>
    <t>Lm5088, Buck, 1x External Mosfet, 48Vin, 5Vout, 35W.TSC</t>
  </si>
  <si>
    <t>http://www.ti.com/product/LM5088-Q1/toolssoftware</t>
  </si>
  <si>
    <t>and</t>
  </si>
  <si>
    <t>Lm5085, Buck, 1x External Mosfet, 13Vin, 5Vout, 15W.TSC</t>
  </si>
  <si>
    <t>TPS51124, Buck, 2x External Mosfet, 12Vin, 1Vout, 10W.TSC</t>
  </si>
  <si>
    <t>Lm5116, Buck, 2x External Mosfet, 48Vin, 12Vout, 60W.TSC</t>
  </si>
  <si>
    <t>http://www.ti.com/product/LM5116/toolssoftware</t>
  </si>
  <si>
    <t>TiReport_42_to_60Vin_40Vout_300W_LM5145_2xMosfet.pdf</t>
  </si>
  <si>
    <t xml:space="preserve"> &gt; Ti WebBench</t>
  </si>
  <si>
    <t xml:space="preserve"> &gt; Spreadsheet</t>
  </si>
  <si>
    <t>Lm5145, Buck, 2x External Mosfet, 48Vin, 12Vout, 60W.TSC</t>
  </si>
  <si>
    <t>https://e2e.ti.com/support/tools/sim-hw-system-design/f/234/t/803979</t>
  </si>
  <si>
    <t>LM5145 Wide Vin Synchronous Buck Controller Quickstart Calculator r12-7.xlsm</t>
  </si>
  <si>
    <t>https://ieeexplore.ieee.org/stamp/stamp.jsp?arnumber=8606786</t>
  </si>
  <si>
    <t xml:space="preserve">Review of Power Decoupling Methods for Micro-Inverters Used in PV Systems </t>
  </si>
  <si>
    <t>https://www.digikey.com/product-detail/en/kemet/MPCH1055L1R3/399-10973-2-ND/4291039</t>
  </si>
  <si>
    <t>MPCH1055L1R3</t>
  </si>
  <si>
    <t>12 x 10mm, 5.5mm hi</t>
  </si>
  <si>
    <t>Input Filter</t>
  </si>
  <si>
    <t>Input Filter Cost $</t>
  </si>
  <si>
    <t>http://www.ti.com/lit/an/slua929a/slua929a.pdf</t>
  </si>
  <si>
    <t>https://www.digikey.com/product-detail/en/toshiba-semiconductor-and-storage/TPH3R70APLL1Q/264-TPH3R70APLL1QTR-ND/10447109</t>
  </si>
  <si>
    <t>TPH3R70APLL1Q</t>
  </si>
  <si>
    <t>67nC typ, 10Vgs</t>
  </si>
  <si>
    <t>http://www.calculatoredge.com/electronics/ch%20pi%20low%20pass.htm</t>
  </si>
  <si>
    <t>Pi Filter Calculator</t>
  </si>
  <si>
    <t>Power Decoupling Techniques for Micro-inverters in PV Systems-a Review</t>
  </si>
  <si>
    <t>https://e2echina.ti.com/cfs-file/__key/communityserver-discussions-components-files/76/2437._f1828765_-_ae5f0690d853685684769f528773e3892680_.pdf</t>
  </si>
  <si>
    <t>TI WebBench</t>
  </si>
  <si>
    <t>TI WebBench uses mosfet TI #CSD19502Q5B (3.5mOhm, 80V, $1). This is similar to Toshiba</t>
  </si>
  <si>
    <t>CSD19502Q5B</t>
  </si>
  <si>
    <t>SON 5x6mm</t>
  </si>
  <si>
    <t>48nC typ, 10Vgs</t>
  </si>
  <si>
    <t>3700pF mx</t>
  </si>
  <si>
    <t>http://sim.okawa-denshi.jp/en/Fkeisan.htm</t>
  </si>
  <si>
    <t>Filter Design Tools</t>
  </si>
  <si>
    <t>http://www.alphawire.com/Home/Products/Wire/Hook-Up-Wire/Premium/461626?device=pdf</t>
  </si>
  <si>
    <t>Solar Panels</t>
  </si>
  <si>
    <t>Wire Properties</t>
  </si>
  <si>
    <r>
      <t>Wire m</t>
    </r>
    <r>
      <rPr>
        <sz val="9"/>
        <color theme="1"/>
        <rFont val="Calibri"/>
        <family val="2"/>
      </rPr>
      <t>Ω</t>
    </r>
    <r>
      <rPr>
        <sz val="9"/>
        <color theme="1"/>
        <rFont val="Calibri Light"/>
        <family val="2"/>
      </rPr>
      <t>/ft</t>
    </r>
  </si>
  <si>
    <t># of ft</t>
  </si>
  <si>
    <t>Wire Type</t>
  </si>
  <si>
    <t>16 gauge</t>
  </si>
  <si>
    <r>
      <t>Total m</t>
    </r>
    <r>
      <rPr>
        <sz val="9"/>
        <color theme="1"/>
        <rFont val="Calibri"/>
        <family val="2"/>
      </rPr>
      <t>Ω</t>
    </r>
  </si>
  <si>
    <t>"</t>
  </si>
  <si>
    <t>Wire Website</t>
  </si>
  <si>
    <t>http://www.ti.com/lit/an/snva801/snva801.pdf</t>
  </si>
  <si>
    <t>Simple Solution for Input Filter Stability Issue in DC/DC Converters, TI App Note</t>
  </si>
  <si>
    <t>Existing Products</t>
  </si>
  <si>
    <t>TINA Software</t>
  </si>
  <si>
    <t>TINA Documentation Webpage</t>
  </si>
  <si>
    <t>Design Considerations</t>
  </si>
  <si>
    <t>Reference Designs, DC-to-DC and DC-to-AC converters</t>
  </si>
  <si>
    <t>DC-to-DC</t>
  </si>
  <si>
    <t>DC-to-AC</t>
  </si>
  <si>
    <t>http://www.samsungsem.com/global/support/product-search/mlcc/1208400_4880.html</t>
  </si>
  <si>
    <t>https://product.tdk.com/en/search/capacitor/ceramic/mlcc/info?part_no=C3225X7R2A225K230AB</t>
  </si>
  <si>
    <t>https://www.tina.com/components/</t>
  </si>
  <si>
    <t>Tina Online Parts Library</t>
  </si>
  <si>
    <t>Analysis and Design of Input Filter for DC-DC Circuit, TI App Note</t>
  </si>
  <si>
    <t>Approach</t>
  </si>
  <si>
    <t>TI WebBench designed system, got report, and also it output a TINA Simulation File, which was loaded in.</t>
  </si>
  <si>
    <t>TI WebBench also has EMI filter design tool that tells us what input filter does not destabilize converter</t>
  </si>
  <si>
    <t>Input Filter Is Tricky</t>
  </si>
  <si>
    <t>Lm5145, Buck, 2x Mosfet, 42-60Vin, 40Vout, 300W, v6 -- good.TSC</t>
  </si>
  <si>
    <r>
      <t>8.8uF + 1.3uH/2.3m</t>
    </r>
    <r>
      <rPr>
        <sz val="11"/>
        <color theme="1"/>
        <rFont val="Calibri"/>
        <family val="2"/>
      </rPr>
      <t>Ω</t>
    </r>
    <r>
      <rPr>
        <sz val="11"/>
        <color theme="1"/>
        <rFont val="Calibri"/>
        <family val="2"/>
        <scheme val="minor"/>
      </rPr>
      <t xml:space="preserve"> + 22uF + 11uF/440mΩ</t>
    </r>
  </si>
  <si>
    <t>filter osc freq  KHz</t>
  </si>
  <si>
    <t>PV Watts pp - switch</t>
  </si>
  <si>
    <t>PV Watts pp - filter</t>
  </si>
  <si>
    <t>PV mV pp - switch</t>
  </si>
  <si>
    <t>PV mV pp - filter</t>
  </si>
  <si>
    <t>PV mA pp - switch</t>
  </si>
  <si>
    <t>PV mA pp - filter</t>
  </si>
  <si>
    <t>PV Watts Avg</t>
  </si>
  <si>
    <t>Out Watts Avg</t>
  </si>
  <si>
    <t>Efficiency %</t>
  </si>
  <si>
    <t>Simulation File</t>
  </si>
  <si>
    <t>Longevity Analysis</t>
  </si>
  <si>
    <t>https://www.degruyter.com/downloadpdf/j/mms.2015.22.issue-1/mms-2015-0012/mms-2015-0012.pdf</t>
  </si>
  <si>
    <t xml:space="preserve">MEASUREMENT AND COMPARISON OF RELIABILITY PERFORMANCE OF PHOTOVOLTAIC POWER OPTIMIZERS FOR ENERGY PRODUCTION </t>
  </si>
  <si>
    <t>https://scholar.google.com/scholar?hl=en&amp;as_sdt=0%2C22&amp;as_vis=1&amp;q=solar+optimizer&amp;btnG=</t>
  </si>
  <si>
    <t>http://wineyard.in/Abstract/mtech/Embedded/bp/13EM20.pdf</t>
  </si>
  <si>
    <t>Module integrated Microinverter</t>
  </si>
  <si>
    <t>https://s3.amazonaws.com/academia.edu.documents/43830294/Micro-invertersPromising_solutions_in_so20160317-12140-1wk0s9h.pdf?response-content-disposition=inline%3B%20filename%3DMicro-inverters_Promising_solutions_in_s.pdf&amp;X-Amz-Algorithm=AWS4-HMAC-SHA256&amp;X-Amz-Credential=AKIAIWOWYYGZ2Y53UL3A%2F20200112%2Fus-east-1%2Fs3%2Faws4_request&amp;X-Amz-Date=20200112T223915Z&amp;X-Amz-Expires=3600&amp;X-Amz-SignedHeaders=host&amp;X-Amz-Signature=521fa35f5b602e752a49326a6af1184c5803eb00ebe69cd05eb22db1c718d75b</t>
  </si>
  <si>
    <t>Microinverter and string inverter grid-connected photovoltaic system—A comprehensive study</t>
  </si>
  <si>
    <t>https://www.researchgate.net/profile/Souhib_Harb/publication/271553566_Microinverter_and_string_inverter_grid-connected_photovoltaic_system_-_A_comprehensive_study/links/5594cf0d08ae793d1379a158/Microinverter-and-string-inverter-grid-connected-photovoltaic-system-A-comprehensive-study.pdf</t>
  </si>
  <si>
    <t>https://patentimages.storage.googleapis.com/6d/4e/9f/eeb426bb270631/US9253935.pdf</t>
  </si>
  <si>
    <t>MICRO-INVERTER SOLARPANEL Mounting, Patent</t>
  </si>
  <si>
    <t>Development of a high-efficiency solar micro-inverter</t>
  </si>
  <si>
    <t>Development of a High-Efficiency Solar Micro-Inverter, MIT Thesis, 2008</t>
  </si>
  <si>
    <t>Micro-Inverter for Solar Power Generation</t>
  </si>
  <si>
    <t>https://www.researchgate.net/profile/Angelo_Brambilla/publication/235222432_Micro-inverter_for_solar_power_generation/links/56edb26b08ae4b8b5e7442b0/Micro-inverter-for-solar-power-generation.pdf</t>
  </si>
  <si>
    <t>Google Scholar Search: solar micro inverter</t>
  </si>
  <si>
    <t>Micro-inverters</t>
  </si>
  <si>
    <t>Microinverters — Promising solutions in solar photovoltaics, 2012</t>
  </si>
  <si>
    <t>Optimizer</t>
  </si>
  <si>
    <t>Google Scholar Search: Solar Optimizer</t>
  </si>
  <si>
    <t>https://patentimages.storage.googleapis.com/pdfs/US8158877.pdf</t>
  </si>
  <si>
    <t>Optimizer Patents</t>
  </si>
  <si>
    <t>https://www.solaredge.com/sites/default/files/se_patents.pdf</t>
  </si>
  <si>
    <t>https://patents.google.com/patent/US20080236648A1/en</t>
  </si>
  <si>
    <t>https://patents.google.com/patent/CN202004692U/en</t>
  </si>
  <si>
    <t>Solar Edge Company, Patents</t>
  </si>
  <si>
    <t>https://patentimages.storage.googleapis.com/d1/ee/10/64a4b60fd5f289/CN202004692U.pdf</t>
  </si>
  <si>
    <t>Photovoltaic power optimizer, China Patent #CN202004692U</t>
  </si>
  <si>
    <t>https://www.solarpowerworldonline.com/2019/10/solaredge-sues-huawei-inverter-power-optimizer-patent-infringement/</t>
  </si>
  <si>
    <t>SolarEdge sues Huawei again for inverter, power optimizer patent infringement</t>
  </si>
  <si>
    <t>https://www.pv-magazine.com/2019/11/27/german-court-rules-in-favor-of-huawei-on-one-of-two-solaredge-patent-claims/</t>
  </si>
  <si>
    <t>German court rules in favor of Huawei on one of two SolarEdge patent claims</t>
  </si>
  <si>
    <t>https://enphase.com/en-us/company/patents</t>
  </si>
  <si>
    <t>Patents held by Enphase</t>
  </si>
  <si>
    <t>Localized power point optimizer for solar cell installations, Patent #9,281,419, Enphase Inc.</t>
  </si>
  <si>
    <t>LOCALIZED POWER POINT OPTIMIZER FOR SOLAR CELL INSTALLATIONS, Solar Edge, Patent #8,158,877, Prior #US 2008/0236648 A1</t>
  </si>
  <si>
    <t>https://patents.google.com/patent/US9281419B2/en?oq=9%2c281%2c419</t>
  </si>
  <si>
    <t>https://www.energysage.com/solar/101/microinverter-power-optimizer-options/</t>
  </si>
  <si>
    <t>https://www.solarpowerworldonline.com/solar-power-power-optimizers-models/</t>
  </si>
  <si>
    <t>List of Companies that Sell Optimizers: Solar Edge, Tigo, Pika Energy, Huawei</t>
  </si>
  <si>
    <t>https://solar.huawei.com/en/download?p=%2F-%2Fmedia%2FSolar%2Fattachment%2Fpdf%2Feu%2Fdatasheet%2FSUN2000P.pdf</t>
  </si>
  <si>
    <t>Huawei #SUN2000P-375W</t>
  </si>
  <si>
    <t>List of Optimizers Models</t>
  </si>
  <si>
    <t>https://www.amazon.com/SOLAREDGE-96VDC-MC4-TYPE-OPTIMIZER-P600-2NA4ARL/dp/B06XXNJS1B/ref=sr_1_3?keywords=solar+optimizer+solaredge&amp;qid=1578871544&amp;sr=8-3</t>
  </si>
  <si>
    <t>https://www.tigoenergy.com/products/</t>
  </si>
  <si>
    <t>Tigo Optimizers</t>
  </si>
  <si>
    <t>Solar Edge #P600, 96VDC output, 600W</t>
  </si>
  <si>
    <t>https://www.solaredge.com/sites/default/files/se-p-series-commercial-add-on-power-optimizer-datasheet.pdf</t>
  </si>
  <si>
    <t>DO-214AA (SMB), 4x6mm</t>
  </si>
  <si>
    <t>https://www.digikey.com/product-detail/en/smc-diode-solutions/1SMA4762TR/1SMA4762TRSMC-ND/5993069</t>
  </si>
  <si>
    <t>1SMA4762TR</t>
  </si>
  <si>
    <t>82V @ 3mA</t>
  </si>
  <si>
    <t>DO-214AC, 3x6mm</t>
  </si>
  <si>
    <r>
      <t>Impedance (</t>
    </r>
    <r>
      <rPr>
        <sz val="9"/>
        <color theme="1"/>
        <rFont val="Calibri"/>
        <family val="2"/>
      </rPr>
      <t>Ω</t>
    </r>
    <r>
      <rPr>
        <sz val="9"/>
        <color theme="1"/>
        <rFont val="Calibri Light"/>
        <family val="2"/>
      </rPr>
      <t>) @ Izt</t>
    </r>
  </si>
  <si>
    <t>similar to  1N5947, which is in tina simulator</t>
  </si>
  <si>
    <t>similar to  1N4762A, which is in tina simulator</t>
  </si>
  <si>
    <t>8-PowerTDFN</t>
  </si>
  <si>
    <t>30nC typ, 10Vgs</t>
  </si>
  <si>
    <t>https://www.pv-magazine.com/news/</t>
  </si>
  <si>
    <t>Industry News</t>
  </si>
  <si>
    <t>PV Magazine</t>
  </si>
  <si>
    <t>https://www.digikey.my/reference-designs/en/ac-dc-and-dc-dc-conversion/dc-dc-smps-single-output/1768</t>
  </si>
  <si>
    <t>300W Buck Converter based on Ucc27714 Gate Driver and Function Generator, Simulation</t>
  </si>
  <si>
    <t>UCC27714: Floating Drive oscillation at Pin 11 of UCC27714</t>
  </si>
  <si>
    <t>Buck Driven by Signal Source, 42-60Vin, 40Vout, 300W, v...TSC</t>
  </si>
  <si>
    <t>http://www.ti.com/tool/UCC27714EVM-551</t>
  </si>
  <si>
    <t>300VDC-to-12VDC Flyback Converter, 600W, UCC27714 Gate Driver, TI Reference Design, UCC27714EVM-551</t>
  </si>
  <si>
    <t>http://www.ti.com/lit/ds/symlink/ucc27710.pdf</t>
  </si>
  <si>
    <t>http://www.ti.com/lit/ug/sluub02a/sluub02a.pdf</t>
  </si>
  <si>
    <t>http://www.ti.com/lit/ds/symlink/ucc27714.pdf</t>
  </si>
  <si>
    <t>Datasheet, ucc27710, 2017, lots of info</t>
  </si>
  <si>
    <t>https://www.diodes.com/assets/Datasheets/DGD2190M.pdf</t>
  </si>
  <si>
    <t>https://www.onsemi.com/pub/Collateral/FAN7390-D.pdf</t>
  </si>
  <si>
    <t>Datasheet, ucc27714, 2015</t>
  </si>
  <si>
    <t>DGD2190M, $0.75</t>
  </si>
  <si>
    <t>FAN7390, $0.75, 2008</t>
  </si>
  <si>
    <t>UCC27710</t>
  </si>
  <si>
    <t>tRise nS Typ 1kPf</t>
  </si>
  <si>
    <t>tFall nS Typ 1kPf</t>
  </si>
  <si>
    <t>#BSC040N08NS5 L0 is similar and available in TINA v12 (L0 does not involve params)</t>
  </si>
  <si>
    <t>https://www.digikey.com/product-detail/en/texas-instruments/UCC27712DR/296-47647-2-ND/8132981</t>
  </si>
  <si>
    <t>UCC27712DR</t>
  </si>
  <si>
    <t>Interlock (not on at same time)</t>
  </si>
  <si>
    <t>1.8A/2.8A</t>
  </si>
  <si>
    <t>Interlock Deadtime nSec</t>
  </si>
  <si>
    <t>Reverse Recovery nS</t>
  </si>
  <si>
    <t>BAT46GWJ</t>
  </si>
  <si>
    <t>SOD123</t>
  </si>
  <si>
    <t>https://www.digikey.com/product-detail/en/nexperia-usa-inc/BAT46GWJ/1727-7326-2-ND/7390551</t>
  </si>
  <si>
    <t>https://www.digikey.com/product-detail/en/nexperia-usa-inc/PMEG10010ELRX/1727-2394-2-ND/5436248</t>
  </si>
  <si>
    <t>PMEG10010ELRX</t>
  </si>
  <si>
    <t>avg current max (A)</t>
  </si>
  <si>
    <t>leakage uA @ max Vr</t>
  </si>
  <si>
    <t>150nA @ 100V</t>
  </si>
  <si>
    <t>250mA: 0.8V@ 25C typ</t>
  </si>
  <si>
    <t>9µA @ 100V</t>
  </si>
  <si>
    <t>http://www.ti.com/lit/an/slva527/slva527.pdf</t>
  </si>
  <si>
    <t>Importing a SPICE NetList into TINA9-TI</t>
  </si>
  <si>
    <t>https://www.youtube.com/watch?v=UjDYO53l_KM</t>
  </si>
  <si>
    <t>SOT23</t>
  </si>
  <si>
    <t>50mA: 1Vf @ 25C max</t>
  </si>
  <si>
    <t>Capacitance pF</t>
  </si>
  <si>
    <t>https://www.nexperia.com/products/diodes/automotive-diodes/automotive-schottky-diodes-and-rectifiers/automotive-medium-power-low-vf-schottky-rectifiers-single-200-ma/PMEG10010ELR.html</t>
  </si>
  <si>
    <t>Video</t>
  </si>
  <si>
    <t>Importing Spice</t>
  </si>
  <si>
    <t>Tools / New Macro / Import Spice, e.g. text in .cir file</t>
  </si>
  <si>
    <t>Suppression of Switching Crosstalk and Voltage Oscillations in a SiC MOSFET Based Half-Bridge Converter</t>
  </si>
  <si>
    <t>https://www.mdpi.com/1996-1073/11/11/3111/pdf-vor</t>
  </si>
  <si>
    <t>Understanding Smart Gate Drive</t>
  </si>
  <si>
    <t>http://www.ti.com/lit/an/slva714c/slva714c.pdf</t>
  </si>
  <si>
    <t>External Gate Resistor Design Guide for Gate Drivers</t>
  </si>
  <si>
    <t>http://www.ti.com/lit/an/slla385/slla385.pdf</t>
  </si>
  <si>
    <t>https://toshiba.semicon-storage.com/us/product/mosfet/detail.TPH3R70APL.html</t>
  </si>
  <si>
    <t>https://toshiba.semicon-storage.com/info/docget.jsp?did=67586&amp;prodName=TPH3R70APL</t>
  </si>
  <si>
    <t>https://toshiba.semicon-storage.com/info/docget.jsp?did=63595&amp;prodName=TPH3R70APL</t>
  </si>
  <si>
    <t xml:space="preserve">RC Snubbers for Step-Down Converters </t>
  </si>
  <si>
    <t xml:space="preserve">U-MOSⅨ-H 60V Low VDS spike TPH1R306P1 </t>
  </si>
  <si>
    <t>https://toshiba.semicon-storage.com/info/docget.jsp?did=59456&amp;prodName=TPH3R70APL</t>
  </si>
  <si>
    <t xml:space="preserve">Parasitic Oscillation and Ringing: Power MOSFET Application Notes </t>
  </si>
  <si>
    <t>https://toshiba.semicon-storage.com/info/docget.jsp?did=59473&amp;prodName=TPH3R70APL</t>
  </si>
  <si>
    <t xml:space="preserve">MOSFET Self-Turn-On Phenomenon </t>
  </si>
  <si>
    <t>Working with MOSFETS</t>
  </si>
  <si>
    <t>Gate Voltage Bounce Issue (aka "self turn-on")</t>
  </si>
  <si>
    <t>https://e2e.ti.com/support/tools/sim-hw-system-design/f/234/t/408224</t>
  </si>
  <si>
    <t>http://e2e.ti.com/support/tools/sim-hw-system-design/f/234/t/143181?TINA-Power-Dissipation</t>
  </si>
  <si>
    <t>Power disipation in components</t>
  </si>
  <si>
    <t>How to calculate power given a waveform (i.e. Integrate() over a time interval)</t>
  </si>
  <si>
    <t>300W Buck Converter based on Lm5145 Buck Converter IC, Simulation</t>
  </si>
  <si>
    <t>Reference File</t>
  </si>
  <si>
    <t>Buck Driven by Signal Source, 42-60Vin, 40Vout, 300W, MOSFET SPIKE.docx</t>
  </si>
  <si>
    <t>I = C * dV/dt</t>
  </si>
  <si>
    <t>Mosfet Datasheet</t>
  </si>
  <si>
    <t>TPH3R70APL</t>
  </si>
  <si>
    <t>clock period nSec</t>
  </si>
  <si>
    <t>MOSFET hi</t>
  </si>
  <si>
    <t>MOSFET lo</t>
  </si>
  <si>
    <t>Gate Dvr COM Volts</t>
  </si>
  <si>
    <t>Avg Power Watts</t>
  </si>
  <si>
    <t>pulse width ns</t>
  </si>
  <si>
    <t>sim file</t>
  </si>
  <si>
    <t>Buck Driven by Signal Source, 42-60Vin, 40Vout, 300W, v5.TSC</t>
  </si>
  <si>
    <t>0V</t>
  </si>
  <si>
    <t>Use simulator to look at "SwLo_Watts" (watts at Sw Lo) and SwHi_Watts (watts at Sw Hi)</t>
  </si>
  <si>
    <t>Simulator Watts Peak</t>
  </si>
  <si>
    <t>Ciss Spike</t>
  </si>
  <si>
    <t>Observed Plot</t>
  </si>
  <si>
    <t>SwLo Gate Flipped ON</t>
  </si>
  <si>
    <t>SwHi Turn On Spike</t>
  </si>
  <si>
    <t>Event</t>
  </si>
  <si>
    <t>Search this file for "Mosfet Switching Losses"</t>
  </si>
  <si>
    <t>2 to 5Vin, -0.23Vout</t>
  </si>
  <si>
    <t>separate COM and Vss Pin</t>
  </si>
  <si>
    <t>BSC040N08NS5</t>
  </si>
  <si>
    <t>54nC</t>
  </si>
  <si>
    <t>Gate Ciss (pF)</t>
  </si>
  <si>
    <t>3900pF @ 40V</t>
  </si>
  <si>
    <t>3.8V @ 67uA</t>
  </si>
  <si>
    <t>BSC117</t>
  </si>
  <si>
    <t>https://www.digikey.com/product-detail/en/infineon-technologies/BSC117N08NS5ATMA1/BSC117N08NS5ATMA1TR-ND/5959917</t>
  </si>
  <si>
    <t>18nC</t>
  </si>
  <si>
    <t>1300pF @ 40V</t>
  </si>
  <si>
    <t>3.8V @ 22uA</t>
  </si>
  <si>
    <t>2.5V @ 1mA</t>
  </si>
  <si>
    <t>Vgs (th) Volts</t>
  </si>
  <si>
    <t>Mosfet Hi Ron mOhms</t>
  </si>
  <si>
    <t>Mosfet Lo Ron mOhms</t>
  </si>
  <si>
    <t>Mosfet Hi On %</t>
  </si>
  <si>
    <t>SwLo Avg Amps</t>
  </si>
  <si>
    <t>SwHi Avg Amps</t>
  </si>
  <si>
    <t>SwHi Avg Watts</t>
  </si>
  <si>
    <t>SwLo Avg Watts</t>
  </si>
  <si>
    <t>Total Avg Watts</t>
  </si>
  <si>
    <t>https://www.digikey.com/product-detail/en/diodes-incorporated/DMT10H009SPS-13/DMT10H009SPS-13DI-ND/10295343</t>
  </si>
  <si>
    <t>DMT10H009SPS</t>
  </si>
  <si>
    <t>4V @ 250uA</t>
  </si>
  <si>
    <t>https://www.digikey.com/product-detail/en/epc/EPC2045/917-1186-2-ND/7652576</t>
  </si>
  <si>
    <t>EPC2045</t>
  </si>
  <si>
    <t>ganfet bumps</t>
  </si>
  <si>
    <t>600pF @ 40V</t>
  </si>
  <si>
    <t>2.5V @ 5mA</t>
  </si>
  <si>
    <t>6nC typ, 5Vgs</t>
  </si>
  <si>
    <t>Vgs Max Volts</t>
  </si>
  <si>
    <t>6V … -4V</t>
  </si>
  <si>
    <t>2085pF typ @ 50V</t>
  </si>
  <si>
    <t>MOSFET, &gt;= 100Vds max, &lt;= 12mOhm, &gt;= 4Vgs th (not likely to turn on w/ a bounce), &lt;= 3K Ciss (less conduction during switching, good for Hi Mosfet)</t>
  </si>
  <si>
    <t>How to set Rg resistor</t>
  </si>
  <si>
    <t>Buck Converter Math</t>
  </si>
  <si>
    <t>Iout</t>
  </si>
  <si>
    <t>Clock Period (T)</t>
  </si>
  <si>
    <t>Iout_Min</t>
  </si>
  <si>
    <t>nH</t>
  </si>
  <si>
    <t>Inductance (L)</t>
  </si>
  <si>
    <t>IL Peak</t>
  </si>
  <si>
    <t>https://www.diodes.com/assets/Datasheets/DMT10H009SPS.pdf</t>
  </si>
  <si>
    <t>https://www.st.com/content/ccc/resource/technical/document/application_note/group1/2f/0a/f5/ab/ad/b1/42/5e/DM00628522/files/DM00628522.pdf/jcr:content/translations/en.DM00628522.pdf</t>
  </si>
  <si>
    <t xml:space="preserve"> Mitigation technique of the SiC MOSFET gate voltage glitches with Miller clamp </t>
  </si>
  <si>
    <t>D (vout/vin)</t>
  </si>
  <si>
    <t>TINA Example Simulations</t>
  </si>
  <si>
    <t>Boost Converter</t>
  </si>
  <si>
    <t>Ideal Diode</t>
  </si>
  <si>
    <t>1-D</t>
  </si>
  <si>
    <t>IL Lowest</t>
  </si>
  <si>
    <t>IL Avg</t>
  </si>
  <si>
    <t>Clock Frequency</t>
  </si>
  <si>
    <t>MHz</t>
  </si>
  <si>
    <t>Calculating Efficiency in DC-DC converters, TI</t>
  </si>
  <si>
    <t>https://www.analog.com/media/en/training-seminars/tutorials/MT-037.pdf</t>
  </si>
  <si>
    <t>Op Amp Offsets, Analog Devices</t>
  </si>
  <si>
    <t>TLV9064_TLV3541_OpAmp_3stage_Inverter_-10mV_Offset_G250, v4.TSC</t>
  </si>
  <si>
    <t>Simulation:</t>
  </si>
  <si>
    <t>Stage 3: Tlv3541 G=12, 10mVos, $0.57, 100MHz, 150V/uSec., 6mA quiesent !!!, Vin -0.1 to (Vcc+0.1), Vout 300mV to (Vcc-300mV)</t>
  </si>
  <si>
    <t>Stage 1&amp;2: Tlv9062 G=2, 2mVos, $0.22, 10MHz, Vin -0.1 to (Vcc+0.1), Vout 20mV to (Vcc-20mV)</t>
  </si>
  <si>
    <t>NOT USED: 3 Stage Amplifier, Inverter + Inverter + NonInverter, Active -10mV Offset</t>
  </si>
  <si>
    <t>1x SPDT</t>
  </si>
  <si>
    <t>https://www.onsemi.com/products/interfaces/analog-switches/nlast4599</t>
  </si>
  <si>
    <t>R1:</t>
  </si>
  <si>
    <t>FC MHz:</t>
  </si>
  <si>
    <t>TC uSec:</t>
  </si>
  <si>
    <t>C1 pF:</t>
  </si>
  <si>
    <t>R2:</t>
  </si>
  <si>
    <t>Vref:</t>
  </si>
  <si>
    <t>C1 (uF):</t>
  </si>
  <si>
    <t>Freq Hz:</t>
  </si>
  <si>
    <t>https://e2e.ti.com/blogs_/b/powerhouse/archive/2015/09/10/control-a-gan-half-bridge-power-stage-with-a-single-pwm-signal</t>
  </si>
  <si>
    <t>Creating Dead Time Between Clocks</t>
  </si>
  <si>
    <t>Control a GaN half-bridge power stage with a single PWM signal</t>
  </si>
  <si>
    <t>https://www.digikey.com/product-detail/en/texas-instruments/SN74LVC14APWR/296-1224-2-ND/276867</t>
  </si>
  <si>
    <t>SN74LVC14APWR</t>
  </si>
  <si>
    <t>Delay nSec @ 85C</t>
  </si>
  <si>
    <t>74HC14</t>
  </si>
  <si>
    <t xml:space="preserve"> (very long and unstable delay, especially at 85C)</t>
  </si>
  <si>
    <t>2nd source is 74LVC14APW</t>
  </si>
  <si>
    <t>https://www.maximintegrated.com/cn/design/technical-documents/app-notes/6/669.html</t>
  </si>
  <si>
    <t>Creating a Vgs Power Source Via a Charge Pump</t>
  </si>
  <si>
    <t>CHARGE PUMPS SHINE IN PORTABLE DESIGNS</t>
  </si>
  <si>
    <t>https://para.maximintegrated.com/en/results.mvp?fam=chargepumps</t>
  </si>
  <si>
    <t>List of Maxim Charge Pump IC's</t>
  </si>
  <si>
    <t>https://www.analog.com/en/products/power-management/inductorless-charge-pump-dc-dc-converters.html</t>
  </si>
  <si>
    <t>Analog Devices, Charge Pump IC's</t>
  </si>
  <si>
    <t>https://www.onsemi.com/pub/Collateral/EVBUM2574-D.PDF</t>
  </si>
  <si>
    <t xml:space="preserve">Example Charge Pump Power Supply Based on </t>
  </si>
  <si>
    <t>https://www.powerelectronictips.com/faq-what-is-a-charge-pump-and-why-is-it-useful-part-1-faq/</t>
  </si>
  <si>
    <t>What is a charge pump and why is it useful</t>
  </si>
  <si>
    <t>http://www.ti.com/lit/wp/slpy005/slpy005.pdf</t>
  </si>
  <si>
    <t>Charge Pump App Note, TI</t>
  </si>
  <si>
    <t>BAS16HTW-13</t>
  </si>
  <si>
    <t>https://www.digikey.com/product-detail/en/diodes-incorporated/BAS16HTW-13/BAS16HTW-13DITR-ND/6051834</t>
  </si>
  <si>
    <t>Resistor Network, Thick Film</t>
  </si>
  <si>
    <t>accuracy %</t>
  </si>
  <si>
    <t># of R's</t>
  </si>
  <si>
    <t>http://www.ti.com/lit/ml/slua618a/slua618a.pdf</t>
  </si>
  <si>
    <t>Fundamentals of MOSFET and IGBT Gate Driver Circuits, TI App Note</t>
  </si>
  <si>
    <t>Inverter w/ Schmidt Trigger Input, 74xx14</t>
  </si>
  <si>
    <t>Transistors</t>
  </si>
  <si>
    <t>Setup</t>
  </si>
  <si>
    <t>https://www.digikey.com/product-detail/en/on-semiconductor/MMBT5551LT3G/MMBT5551LT3GOSTR-ND/1481953</t>
  </si>
  <si>
    <t>1x NPN</t>
  </si>
  <si>
    <t>Vr Max Volts</t>
  </si>
  <si>
    <t>hFE Gain</t>
  </si>
  <si>
    <t>spice:</t>
  </si>
  <si>
    <t>https://www.onsemi.com/support/design-resources/models?rpn=MMBT5551L</t>
  </si>
  <si>
    <t>MOSFET, &gt;= 100Vds max, &lt;3Vgs th, &gt; 1 ohm Ron, SOT23</t>
  </si>
  <si>
    <t>https://www.digikey.com/product-detail/en/on-semiconductor/BSS123L/BSS123LTR-ND/5044750</t>
  </si>
  <si>
    <t>BSS123L</t>
  </si>
  <si>
    <t>Sot23</t>
  </si>
  <si>
    <t>2.5nC</t>
  </si>
  <si>
    <t>21pF</t>
  </si>
  <si>
    <t>https://www.digikey.com/product-detail/en/diodes-incorporated/DMP10H4D2S-7/DMP10H4D2S-7DITR-ND/5699708</t>
  </si>
  <si>
    <t>DMP10H4D2S-7</t>
  </si>
  <si>
    <t>Sot23, N, 100V, 2 VgsTh</t>
  </si>
  <si>
    <t>1.8nC</t>
  </si>
  <si>
    <t>87pF</t>
  </si>
  <si>
    <t>3V fully on</t>
  </si>
  <si>
    <t>4V fully on</t>
  </si>
  <si>
    <t>Zener Diode</t>
  </si>
  <si>
    <t>https://www.digikey.com/product-detail/en/on-semiconductor/BZX84C18LT1G/BZX84C18LT1GOSTR-ND/918392</t>
  </si>
  <si>
    <t>Note</t>
  </si>
  <si>
    <t>http://www.ti.com/lit/an/slua468/slua468.pdf</t>
  </si>
  <si>
    <t>TPS2350, A High-Negative Voltage ORing Controller</t>
  </si>
  <si>
    <t>Voltage ORing (combining voltage sources)</t>
  </si>
  <si>
    <t>https://www.nutsvolts.com/magazine/article/op-amp-cookbook-part-4</t>
  </si>
  <si>
    <t>Figure 18 shows op amp creating negative voltage</t>
  </si>
  <si>
    <t>https://www.cnblogs.com/shangdawei/p/4783042.html</t>
  </si>
  <si>
    <t>https://www.electronics-notes.com/articles/analogue_circuits/power-supply-electronics/linear-psu-series-regulator-circuit.php</t>
  </si>
  <si>
    <t>https://www.digikey.com/product-detail/en/diodes-incorporated/AP3012KTR-G1/AP3012KTR-G1DITR-ND/4470846</t>
  </si>
  <si>
    <t>AP3012KTR-G1</t>
  </si>
  <si>
    <t>Vout = Vin * Ratio</t>
  </si>
  <si>
    <t>Max Vout</t>
  </si>
  <si>
    <t>SOT23-6</t>
  </si>
  <si>
    <t>Max Current mA</t>
  </si>
  <si>
    <t>https://www.diodes.com/products/power-management/dc-dc-converters/integrated-power-stage/boost-converter/</t>
  </si>
  <si>
    <t>Diodes Inc Boost Converters:</t>
  </si>
  <si>
    <t>https://www.digikey.com/product-detail/en/diodes-incorporated/AP3015AKTR-G1/AP3015AKTR-G1DITR-ND/4470848</t>
  </si>
  <si>
    <t>AP3015AKTR-G1</t>
  </si>
  <si>
    <t>SOT23-5</t>
  </si>
  <si>
    <t>no spice: on semi, diodes Inc</t>
  </si>
  <si>
    <t>TI has spice yet has high quiesent current</t>
  </si>
  <si>
    <t>lmr62014, lm27313, lm2733 has spice and is similar yet has 3mA quies</t>
  </si>
  <si>
    <t>Voltage (V)</t>
  </si>
  <si>
    <t>Capacitor Network, Thick Film</t>
  </si>
  <si>
    <t>MWV = Max. Working Voltagem, MOV = Max. Overload Voltage; DWV = Dielectric Withstand Voltage, RCWV (Rated Continuous Working Voltage) = Sqrt( RatedPower × Resistance Value)</t>
  </si>
  <si>
    <t>Dielectric (V)</t>
  </si>
  <si>
    <t>1206 convex, 0.12" x 0.06"</t>
  </si>
  <si>
    <t>https://www.digikey.com/product-detail/en/yageo/CA0612KRX7R8BB103/CA0612KRX7R8BB103-ND/5883039</t>
  </si>
  <si>
    <t>CA0612KRX7R8BB103</t>
  </si>
  <si>
    <t>25V @ 0.01uF</t>
  </si>
  <si>
    <t xml:space="preserve">DMT10H009SPS1 </t>
  </si>
  <si>
    <t>1m</t>
  </si>
  <si>
    <t>SwHi Gate Turn On Spike</t>
  </si>
  <si>
    <t>Watts_SwHi GATE</t>
  </si>
  <si>
    <t>SwHi Gate Turn Off Spike</t>
  </si>
  <si>
    <t>SwHi_Watts_Ron</t>
  </si>
  <si>
    <t>SwLo_Watts_Ron</t>
  </si>
  <si>
    <t>Watts_SwLo GATE</t>
  </si>
  <si>
    <t>SwLo Gate Turn On Spike</t>
  </si>
  <si>
    <t>SwLo Gate Turn Off Spike</t>
  </si>
  <si>
    <t>Buck Driven by Signal Source, 42-60Vin, 40Vout, 300W, v15.TSC</t>
  </si>
  <si>
    <t>Watts_GateDvrIc_12Vpwr</t>
  </si>
  <si>
    <t>Drive Lo Fet Gate, turn ON</t>
  </si>
  <si>
    <t>Charge Cap</t>
  </si>
  <si>
    <t>TOTAL (drive gates and series resistors)</t>
  </si>
  <si>
    <t>Most of this is used to drive Lo Gate</t>
  </si>
  <si>
    <t>Either drives Lo Gate directly or Hi Gate via Cap</t>
  </si>
  <si>
    <t>Watts_12VpwrSupply</t>
  </si>
  <si>
    <t>Drives Lo &amp; Hi Fet Gates</t>
  </si>
  <si>
    <t>Watts_12Vpwr_Res (3Ω), observed on sim</t>
  </si>
  <si>
    <t>Watts_Boot_Res (5Ω)</t>
  </si>
  <si>
    <t>Cboot cap charges up while Switch voltage is at GND, and then this charge is used to turn on Switch-Hi (drive's gate charge)</t>
  </si>
  <si>
    <t>Gate Charge (Qg) nC</t>
  </si>
  <si>
    <t>Cboot hi Volts</t>
  </si>
  <si>
    <t>Cboot Capacitance nF</t>
  </si>
  <si>
    <t>Charge in Cboot when Hi, nC</t>
  </si>
  <si>
    <t>Charge in Cboot after drained, nC</t>
  </si>
  <si>
    <t>Cboot Volts after draining</t>
  </si>
  <si>
    <t>https://www.electronics-tutorials.ws/capacitor/cap_1.html</t>
  </si>
  <si>
    <t>Cboot Volts after drain Observed</t>
  </si>
  <si>
    <t>Q=C x V</t>
  </si>
  <si>
    <t>Needed pC charge to Recharge</t>
  </si>
  <si>
    <t>time to recharge, nS</t>
  </si>
  <si>
    <t>volts to add during recharge</t>
  </si>
  <si>
    <t>recharge current mA</t>
  </si>
  <si>
    <t>Pwr Supply Volts</t>
  </si>
  <si>
    <t>Bias Resistance, ohms</t>
  </si>
  <si>
    <t>Note: I observe others drinking from this cap. Perhaps Vds switch high changing from 0V to 60V pulls on it via Mosfet capacitance between Drain and Gate?</t>
  </si>
  <si>
    <t>Buck Driven by Signal Source, 42-60Vin, 40Vout, 300W, v15a.TSC</t>
  </si>
  <si>
    <t>ESR</t>
  </si>
  <si>
    <t>177mΩ @ 10K, 33mΩ @ 100KHz, 22mΩ @ 300KHz, 19mΩ @ 1MHz, 18mΩ @ 10MHz</t>
  </si>
  <si>
    <t>CL31B225KBHNNNF</t>
  </si>
  <si>
    <t>Kemet #C1206C225M5RECAUTO7210 is similar</t>
  </si>
  <si>
    <t>Kemet Capacitor Simulator</t>
  </si>
  <si>
    <t>http://ksim.kemet.com/Ceramic/CeramicCapSelection.aspx</t>
  </si>
  <si>
    <t>Buck Converter, &gt;= 60Vin</t>
  </si>
  <si>
    <t>http://www.ti.com/product/LM5163</t>
  </si>
  <si>
    <t>description</t>
  </si>
  <si>
    <t>CIG22L3R3MNE</t>
  </si>
  <si>
    <t>https://www.digikey.in/product-detail/en/samsung-electro-mechanics/CIG22L3R3MNE/1276-6212-2-ND/3971868</t>
  </si>
  <si>
    <t>"magnetic shielding"</t>
  </si>
  <si>
    <t>no spec</t>
  </si>
  <si>
    <t>Inductor, ~1uH, ~1A</t>
  </si>
  <si>
    <t>SRN1060-221M</t>
  </si>
  <si>
    <t>$0.25 arrow</t>
  </si>
  <si>
    <t xml:space="preserve"> 10.00 x 9.80 x 6mm H</t>
  </si>
  <si>
    <t>Semi-Shielded</t>
  </si>
  <si>
    <t>https://www.digikey.com/product-detail/en/bourns-inc/SRN1060-221M/SRN1060-221MTR-ND/3821651</t>
  </si>
  <si>
    <t>https://service.somfy.com/downloads/nam_v4/cbsspec_binder.pdf</t>
  </si>
  <si>
    <t xml:space="preserve">Somfy </t>
  </si>
  <si>
    <t>TI's Design Spreadsheet</t>
  </si>
  <si>
    <t>TINA Simulation and schematic</t>
  </si>
  <si>
    <t>TI WebBench Report</t>
  </si>
  <si>
    <t>Design Files</t>
  </si>
  <si>
    <t>Design Notes</t>
  </si>
  <si>
    <t>LM5163 Product Page</t>
  </si>
  <si>
    <t>https://www.digikey.com/product-detail/en/samsung-electro-mechanics/CL10B222KB8NFNC/1276-1990-2-ND/3887648</t>
  </si>
  <si>
    <t>CL10B222KB8NFNC</t>
  </si>
  <si>
    <t>x7r</t>
  </si>
  <si>
    <t>Temp ( C )</t>
  </si>
  <si>
    <t>Resistor, thick film</t>
  </si>
  <si>
    <t>https://www.iesve.com/case_studies/pdf/somfy_phillips_whitepaper_final.pdf</t>
  </si>
  <si>
    <t>SOMFY - PHILIPS Light balancing Whitepaper</t>
  </si>
  <si>
    <t>Somfy Brochure</t>
  </si>
  <si>
    <t>Neuffer</t>
  </si>
  <si>
    <t>Koemmerling</t>
  </si>
  <si>
    <t>https://cdn.dynalite.org/public-download/1472/c6bc90cf3a37c1f34908dd3bca12776f</t>
  </si>
  <si>
    <t>DyNet to Somfy Gateway User Guide</t>
  </si>
  <si>
    <t>https://service.somfy.com/downloads/nam_v4/animeo_ip_brochure.pdf</t>
  </si>
  <si>
    <t>Animeo IP (RS485 based system)</t>
  </si>
  <si>
    <t>total ohms</t>
  </si>
  <si>
    <t>3.3Vpwr mW</t>
  </si>
  <si>
    <t xml:space="preserve">  CANbus Transciever</t>
  </si>
  <si>
    <t>Panel Pwr Total mA</t>
  </si>
  <si>
    <t>Panel Pwr Total mW</t>
  </si>
  <si>
    <t>3.3Vpwr on one PCB</t>
  </si>
  <si>
    <t>Can-side Pwr  mW</t>
  </si>
  <si>
    <t>Total 5Vpwr mW</t>
  </si>
  <si>
    <t>5Vpwr on Can Side</t>
  </si>
  <si>
    <t>http://www.ti.com/lit/wp/slyy081a/slyy081a.pdf</t>
  </si>
  <si>
    <t>Fault Tolerance</t>
  </si>
  <si>
    <t>Understanding failure modes in isolators (we want "Fail Open Behavior")</t>
  </si>
  <si>
    <t>2 to 5.5V</t>
  </si>
  <si>
    <t>Pwr CANbus-side Volts</t>
  </si>
  <si>
    <t>CANbus side Quies mA</t>
  </si>
  <si>
    <t>https://www.digikey.com/product-detail/en/rohm-semiconductor/BP5047A24/BP5047A24-ND/658561</t>
  </si>
  <si>
    <t>BP5047A24</t>
  </si>
  <si>
    <t>Sense Resistor Ohms</t>
  </si>
  <si>
    <t>Power VAC</t>
  </si>
  <si>
    <t>Rsense uA, short to 265V</t>
  </si>
  <si>
    <t>Rsense uA, short to 16V</t>
  </si>
  <si>
    <t>Rsense uA, short to 4V</t>
  </si>
  <si>
    <t>Volt drop due to Bias Curr</t>
  </si>
  <si>
    <t>Comparator input pF</t>
  </si>
  <si>
    <t>time Constant uSec</t>
  </si>
  <si>
    <t>Rsense mW, short to 265V</t>
  </si>
  <si>
    <t>Comparitor Bias nA @ 85C</t>
  </si>
  <si>
    <t>Resistor</t>
  </si>
  <si>
    <t>Power Vpeak</t>
  </si>
  <si>
    <r>
      <t>Short 265VAC (742VDC) to 10MΩ ohm (74uA, 55mW), 10M</t>
    </r>
    <r>
      <rPr>
        <sz val="11"/>
        <color theme="1"/>
        <rFont val="Calibri"/>
        <family val="2"/>
      </rPr>
      <t>Ω</t>
    </r>
    <r>
      <rPr>
        <sz val="9.9"/>
        <color theme="1"/>
        <rFont val="Calibri"/>
        <family val="2"/>
      </rPr>
      <t xml:space="preserve"> is </t>
    </r>
    <r>
      <rPr>
        <sz val="11"/>
        <color theme="1"/>
        <rFont val="Calibri"/>
        <family val="2"/>
        <scheme val="minor"/>
      </rPr>
      <t>AFTER rectifier</t>
    </r>
  </si>
  <si>
    <r>
      <t>1M</t>
    </r>
    <r>
      <rPr>
        <b/>
        <sz val="11"/>
        <color theme="6"/>
        <rFont val="Calibri"/>
        <family val="2"/>
      </rPr>
      <t>Ω</t>
    </r>
    <r>
      <rPr>
        <b/>
        <sz val="11"/>
        <color theme="6"/>
        <rFont val="Calibri"/>
        <family val="2"/>
        <scheme val="minor"/>
      </rPr>
      <t xml:space="preserve"> Sense</t>
    </r>
  </si>
  <si>
    <t>Dali_Interface_Voltage_and_Current_Limited.pdf</t>
  </si>
  <si>
    <t>Dali_Interface_Voltage_and_Current_Limited_v4.TSC</t>
  </si>
  <si>
    <t>Existing_Dali_Reference_Designs_RESEARCH.docx</t>
  </si>
  <si>
    <t>schematic pdf</t>
  </si>
  <si>
    <t>TINA simulation file</t>
  </si>
  <si>
    <t>collection of existing DALI interface reference designs</t>
  </si>
  <si>
    <t>Viper011, 13..265VAC-to-5VDC, 1W, eDesign PROJECT FILE.prj</t>
  </si>
  <si>
    <t>Ultra-Small 1W, 12V-36V Iso Power Supply for Analog Prog Logic Controller Modules Reference Design</t>
  </si>
  <si>
    <t>http://www.ti.com/tool/TIDA-00237</t>
  </si>
  <si>
    <t>schematic:</t>
  </si>
  <si>
    <t>http://www.ti.com/lit/df/tidrei9/tidrei9.pdf</t>
  </si>
  <si>
    <t xml:space="preserve"> &gt;&gt; has tina simulation file, uses 750315144 $4 transformer</t>
  </si>
  <si>
    <t>https://power.murata.com/pub/data/power/ncl/kac_bac1.pdf</t>
  </si>
  <si>
    <t>https://www.cui.com/product/resource/pbo-1.pdf</t>
  </si>
  <si>
    <t>Module, input is 85..305VAC  or   70..430VDC, arrow price is $3.60/600</t>
  </si>
  <si>
    <t>Module, input is 85..265VAC  or   70..400VDC</t>
  </si>
  <si>
    <t>Existing Modules</t>
  </si>
  <si>
    <t>http://www.ti.com/tool/PMP21884</t>
  </si>
  <si>
    <t>Tiny, ultra-low Iq DC-DC power supply with battery charging reference design for wearables</t>
  </si>
  <si>
    <t>http://www.ti.com/reference-designs/index.html#search?vinmin=100&amp;vinmax=265&amp;iout=0.09999999999999998&amp;vout=5&amp;intype=AC</t>
  </si>
  <si>
    <t>Low Power Flyback Bias Supply Reference Design With Ultra Wide Input Voltage Range</t>
  </si>
  <si>
    <t>sch:</t>
  </si>
  <si>
    <t>http://www.ti.com/lit/df/tidrs78/tidrs78.pdf</t>
  </si>
  <si>
    <t>bom:</t>
  </si>
  <si>
    <t>http://www.ti.com/lit/df/tidrs79/tidrs79.pdf</t>
  </si>
  <si>
    <t>http://www.ti.com/tool/PMP20708</t>
  </si>
  <si>
    <t xml:space="preserve"> &gt;&gt; uses 750316908 transformer</t>
  </si>
  <si>
    <t>https://www.we-online.com/web/en/passive_components_custom_magnetics/products_pbcm/product_spotlight/microplc.php</t>
  </si>
  <si>
    <t>tsfmr:</t>
  </si>
  <si>
    <t xml:space="preserve"> &gt;&gt; Supports 24V to 265V input (AC or DC) !!!</t>
  </si>
  <si>
    <t>https://www.we-online.com/catalog/en/MID-OLTI/?sq=750316908&amp;sp=https%3A%2F%2Fwww.we-online.com%2Fweb%2Fen%2Fpassive_components_custom_magnetics%2Fsearchpage_PBCM.php%3Fsearch%3D750316908#750316908</t>
  </si>
  <si>
    <t>List of MID-OLTI Offline Flyback Transformers for Texas Instruments</t>
  </si>
  <si>
    <t>https://www.we-online.com/catalog/en/cm/pcd/mid_power_magnetics/mid_offline_flyback_transformers/</t>
  </si>
  <si>
    <t>List of Flyback Transformers for many different companies</t>
  </si>
  <si>
    <t>Wurth Transformers</t>
  </si>
  <si>
    <t>750316908, 24..375VAC in, Out1: 24V/35mA, Out2: 5V/35mA</t>
  </si>
  <si>
    <t>750343332, 70..283VAC in, 5V/100mA output, $3.62/100 digi</t>
  </si>
  <si>
    <t>https://www.we-online.com/catalog/datasheet/750316908.pdf</t>
  </si>
  <si>
    <t xml:space="preserve"> &gt;&gt; Input: 24..375VAC,    Out1: 24V/35mA,    Out2: 5V/35mA</t>
  </si>
  <si>
    <t>http://www.ti.com/reference-designs/index.html#search?vinmin=100&amp;vinmax=265&amp;iout=0.09999999999999998&amp;vout=5&amp;isolated=Isolated&amp;intype=AC</t>
  </si>
  <si>
    <t>TI Reference Designs</t>
  </si>
  <si>
    <t>List of TI reference designs (5 are &lt; 0.5W)</t>
  </si>
  <si>
    <t>Reference Design, 24V to 265V input (AC or DC), 5V and 24V output</t>
  </si>
  <si>
    <t>See this file / "Export" / "SUMMARY: Tiny Power Supplies for Tiny Processors"</t>
  </si>
  <si>
    <t>TI list of reference designs, shows input voltage ranges, five designs are &lt; 0.5W</t>
  </si>
  <si>
    <t>See Also</t>
  </si>
  <si>
    <t>Custom IC only passes powerline voltage when it is &lt; X volts</t>
  </si>
  <si>
    <t>Shutterbox systems</t>
  </si>
  <si>
    <t>Rolled shutters, external, neuffer, german quality</t>
  </si>
  <si>
    <t>Rolled shutters, internal, neuffer, german quality</t>
  </si>
  <si>
    <t>Somfy: 20W to 400W motors, 24VDC and 110/220VAC products</t>
  </si>
  <si>
    <t>&gt; 24VDC: 0.8 to 2A,  110/220VAC: 0.5 to 4A</t>
  </si>
  <si>
    <t>Protected DALI Interface (current and voltage limiting)</t>
  </si>
  <si>
    <t>Search this file for "Protected DALI Interface" and "FLEX POWER"</t>
  </si>
  <si>
    <t>https://www.st.com/resource/en/datasheet/STCH02.pdf</t>
  </si>
  <si>
    <t>Example Design: AC-to-DC, In: 85..265VAC, Out: 48VDC/0.2A, 10W</t>
  </si>
  <si>
    <t>http://www.ti.com/lit/ds/symlink/ucc28742.pdf</t>
  </si>
  <si>
    <t>http://www.ti.com/tool/UCC28742EVM-001?jktype=tools_software</t>
  </si>
  <si>
    <t>Ucc28742 Converter, 2018 Design, $0.29</t>
  </si>
  <si>
    <t>Ucc28742, Reference Design, 10W, 85..265VacIn, 5Vout, 10W, Tsfmr (4:1, 5.8:1, 1:1)</t>
  </si>
  <si>
    <t>Stch02 Converter</t>
  </si>
  <si>
    <t>https://www.edn.com/sheet-resistance-of-copper-foil-rule-of-thumb-13/</t>
  </si>
  <si>
    <r>
      <t>Resistance of 1 square inch of copper foil is 0.5m</t>
    </r>
    <r>
      <rPr>
        <sz val="11"/>
        <color theme="1"/>
        <rFont val="Calibri"/>
        <family val="2"/>
      </rPr>
      <t>Ω</t>
    </r>
  </si>
  <si>
    <t>Trace Length (in)</t>
  </si>
  <si>
    <t>Trace Width (in)</t>
  </si>
  <si>
    <t>Rsq (mΩ/sq in)</t>
  </si>
  <si>
    <t>Resistance (mΩ)</t>
  </si>
  <si>
    <t>Copper oz Thickness</t>
  </si>
  <si>
    <t>https://www.digikey.com/product-detail/en/texas-instruments/INA332AIDGKR/296-41265-2-ND/1509895</t>
  </si>
  <si>
    <t>INA332AIDGKR</t>
  </si>
  <si>
    <t>5 typ</t>
  </si>
  <si>
    <t>https://www.digikey.com/product-detail/en/microchip-technology/MCP6N11T-100E-MNY/MCP6N11T-100E-MNYTR-ND/2775795</t>
  </si>
  <si>
    <t>2.5 typ</t>
  </si>
  <si>
    <t>MCP6N11T-100E (g=100)</t>
  </si>
  <si>
    <t>25mV to (Vcc-25mV)</t>
  </si>
  <si>
    <t>80pA @ 85C</t>
  </si>
  <si>
    <t xml:space="preserve"> -0.2V to (Vcc - 0.15V)</t>
  </si>
  <si>
    <t xml:space="preserve"> -0.1 to (Vcc + 0.1)</t>
  </si>
  <si>
    <t>https://www.digikey.com/product-detail/en/texas-instruments/INA826AIDGKR/296-29663-2-ND/2762216</t>
  </si>
  <si>
    <t>.4 typ 2mx</t>
  </si>
  <si>
    <t>0 to (Vcc-1000mV)</t>
  </si>
  <si>
    <t>INA826AIDGKR (g=100)</t>
  </si>
  <si>
    <t>95nA ot</t>
  </si>
  <si>
    <t>100mV to (Vcc-150mV)</t>
  </si>
  <si>
    <t>+-15V</t>
  </si>
  <si>
    <t>Instrumenation Amplifer, set gain with external resistor, &lt; 100uVos</t>
  </si>
  <si>
    <t>Current_Shunt_AmpAndMux_SingleEnded, v7d.TSC</t>
  </si>
  <si>
    <t>Difference Amplifier, fixed G=10/100/200, includes op amp and 4 internal resistors</t>
  </si>
  <si>
    <t>Resistor Network, thin film, ratio tracking, Values 1K/10K/1K/10K</t>
  </si>
  <si>
    <r>
      <t>ACASA1001</t>
    </r>
    <r>
      <rPr>
        <sz val="11"/>
        <color theme="9"/>
        <rFont val="Calibri"/>
        <family val="2"/>
        <scheme val="minor"/>
      </rPr>
      <t>2</t>
    </r>
    <r>
      <rPr>
        <sz val="11"/>
        <color theme="1"/>
        <rFont val="Calibri"/>
        <family val="2"/>
        <scheme val="minor"/>
      </rPr>
      <t>1002P100</t>
    </r>
  </si>
  <si>
    <t>http://www.vishay.com/docs/28751/acasprec.pdf</t>
  </si>
  <si>
    <t>Hi Precision Datasheet:</t>
  </si>
  <si>
    <r>
      <rPr>
        <sz val="11"/>
        <color theme="9"/>
        <rFont val="Calibri"/>
        <family val="2"/>
        <scheme val="minor"/>
      </rPr>
      <t>LO</t>
    </r>
    <r>
      <rPr>
        <sz val="11"/>
        <color theme="1"/>
        <rFont val="Calibri"/>
        <family val="2"/>
        <scheme val="minor"/>
      </rPr>
      <t xml:space="preserve"> Precision Datasheet:</t>
    </r>
  </si>
  <si>
    <t>use 50ppm/C as ratio specification</t>
  </si>
  <si>
    <t>switching speed</t>
  </si>
  <si>
    <t>very slow</t>
  </si>
  <si>
    <t>https://www.analog.com/en/analog-dialogue/articles/techniques-to-avoid-instability-capacitive-loading.html</t>
  </si>
  <si>
    <t>DC-to-DC Converter Input Filter - Inductor Needed to Pull Current out of PV panel when Buck/Boost switch opens (also need filter to reduce RFI)</t>
  </si>
  <si>
    <t>Op Amp Design</t>
  </si>
  <si>
    <t>Practical Techniques to Avoid Instability Due to Capacitive Loading</t>
  </si>
  <si>
    <t>8x PCB's</t>
  </si>
  <si>
    <t>Array Power, Volts</t>
  </si>
  <si>
    <t>Watts Per String</t>
  </si>
  <si>
    <t># of Strings</t>
  </si>
  <si>
    <t>Total Watts</t>
  </si>
  <si>
    <t>Total Amps</t>
  </si>
  <si>
    <t>Amps Per String</t>
  </si>
  <si>
    <t># of ft (both directions)</t>
  </si>
  <si>
    <t>NOT USED: 3 Stage Amplifier, NonInverter + Inverter + NonInverter, Passive 50mV Offset</t>
  </si>
  <si>
    <t>Current_Shunt_AmpAndMux_SingleEnded...TSC</t>
  </si>
  <si>
    <t>??</t>
  </si>
  <si>
    <t>Simulation: CurrentShunt_AmpMux_Differential_4_Stage, v9e.TSC</t>
  </si>
  <si>
    <t>CurrentShunt_AmpMux_Differential_4_Stage, v9e.TSC</t>
  </si>
  <si>
    <t>4 Resistors, Values 1K/10K/1K/10K</t>
  </si>
  <si>
    <t>2 Resistors, Values 100/100</t>
  </si>
  <si>
    <r>
      <t>ACASN1000</t>
    </r>
    <r>
      <rPr>
        <sz val="11"/>
        <color theme="9"/>
        <rFont val="Calibri"/>
        <family val="2"/>
        <scheme val="minor"/>
      </rPr>
      <t>S</t>
    </r>
    <r>
      <rPr>
        <sz val="11"/>
        <color theme="1"/>
        <rFont val="Calibri"/>
        <family val="2"/>
        <scheme val="minor"/>
      </rPr>
      <t>1000P1AT</t>
    </r>
  </si>
  <si>
    <t>https://www.mouser.com/ProductDetail/Vishay-Beyschlag/ACASN1000S1000P1AT?qs=sGAEpiMZZMvrmc6UYKmaNfQm27WGhZG8EsCbJ4z0G2A%3D</t>
  </si>
  <si>
    <t xml:space="preserve"> -- mouser stocks</t>
  </si>
  <si>
    <t>NOT USED: 4 Stage Amplifier, Differential, 0 to 12mVin, 3MHz BW</t>
  </si>
  <si>
    <t>Stage 1&amp;2: Tlv9062 G=2 (2mVos, $0.22, 10MHz), Stage 3: Tlv3541 g=25 (10mVos, $0.57, 100MHz, 150V/uSec., 6mA quiesent !!!)</t>
  </si>
  <si>
    <t>Stage 1&amp;2: Tlv9062 G=3 (2mVos, $0.22, 10MHz), Stage 3: Tlv3541 g=10 (10mVos, $0.57, 100MHz, 150V/uSec., 6mA quiesent !!!)</t>
  </si>
  <si>
    <t>Stage 1&amp;2: Tlv9062 G=2 (2mVos, $0.22, 10MHz), Stage 3: Tlv3541 g=12 (10mVos, $0.57, 100MHz, 150V/uSec., 6mA quiesent !!!)</t>
  </si>
  <si>
    <t>s1g</t>
  </si>
  <si>
    <t>s1a/b</t>
  </si>
  <si>
    <t>s2g</t>
  </si>
  <si>
    <t>s3g</t>
  </si>
  <si>
    <t>We need low R3f to drive capacitance at switches and op amps</t>
  </si>
  <si>
    <t>Cap pF</t>
  </si>
  <si>
    <t>Freq MHz</t>
  </si>
  <si>
    <t>https://www.analog.com/media/en/training-seminars/design-handbooks/designers-guide-instrument-amps-complete.pdf</t>
  </si>
  <si>
    <t>A Designer’s Guide to Instrumentation Amplifiers</t>
  </si>
  <si>
    <t>https://www.digikey.com/product-detail/en/texas-instruments/LMV324AIPWR/296-51366-2-ND/9674910</t>
  </si>
  <si>
    <t>BW Min Per Stage (MHz)</t>
  </si>
  <si>
    <t>Observed BW on Sim</t>
  </si>
  <si>
    <t>https://www.digikey.com/product-detail/en/on-semiconductor/NCS20034DR2G/NCS20034DR2GOSTR-ND/5267860</t>
  </si>
  <si>
    <t>NCS20034DR2G</t>
  </si>
  <si>
    <t>2 typ</t>
  </si>
  <si>
    <t>66dB typ</t>
  </si>
  <si>
    <t>I imported pspice model yet it did not work (it is busted)</t>
  </si>
  <si>
    <t>https://www.youspice.com/importing-subckt-pspice-netlist-into-tina/</t>
  </si>
  <si>
    <t>Importing a PSPICE into Tina</t>
  </si>
  <si>
    <t>http://www.ti.com/lit/an/sboa097b/sboa097b.pdf</t>
  </si>
  <si>
    <t>High-Voltage Signal Conditioning for Low-Voltage ADCs</t>
  </si>
  <si>
    <r>
      <t>A Designer’s Guide to Instrumentation Amplifiers</t>
    </r>
    <r>
      <rPr>
        <sz val="11"/>
        <color rgb="FFFF0000"/>
        <rFont val="Calibri"/>
        <family val="2"/>
        <scheme val="minor"/>
      </rPr>
      <t xml:space="preserve"> (pg 6-1 is good)</t>
    </r>
  </si>
  <si>
    <t>http://www.ti.com/amplifier-circuit/op-amps/cross-reference.html</t>
  </si>
  <si>
    <t>Cross reference op amp from any company to TI (which might have better tina support)</t>
  </si>
  <si>
    <t>Simulation: 100Vmeasure - vDivider to Amp to Mux, v2d.TSC</t>
  </si>
  <si>
    <t>Stage 1: Tlv9064 G=1/30, 2mVos, $0.22, 10MHz, Vin -0.1 to (Vcc+0.1), Vout 20mV to (Vcc-20mV)</t>
  </si>
  <si>
    <t>A1 Input (V)</t>
  </si>
  <si>
    <t>A1_Offset (V)</t>
  </si>
  <si>
    <t>A1_Out (V)</t>
  </si>
  <si>
    <t>Rsense</t>
  </si>
  <si>
    <t>A1_Vos (V)</t>
  </si>
  <si>
    <t>https://www.digikey.com/product-detail/en/texas-instruments/SN74LV4051APWR/296-3829-2-ND/374749</t>
  </si>
  <si>
    <t>https://www.pspice.com/incorrect-ground-symbol-may-result-floating-node-or-convergence-problems</t>
  </si>
  <si>
    <t>Gnd Pin</t>
  </si>
  <si>
    <t>SN74LV4052</t>
  </si>
  <si>
    <t>ti does not have tina/spice, nexperia has it yet it is busted</t>
  </si>
  <si>
    <t>2x 4:1</t>
  </si>
  <si>
    <t>10nSec</t>
  </si>
  <si>
    <t>CurrentShunt_AmpMux_Diff_CheapMux, v11b.TSC</t>
  </si>
  <si>
    <t>https://www.digikey.com/product-detail/en/stmicroelectronics/STB36N60M6/497-18734-2-ND/8257680</t>
  </si>
  <si>
    <t>STB36N60M6</t>
  </si>
  <si>
    <t>44nC</t>
  </si>
  <si>
    <t>1960pF</t>
  </si>
  <si>
    <t>4.8V @ .25mA</t>
  </si>
  <si>
    <t>http://www.ti.com/tool/PMP6813</t>
  </si>
  <si>
    <t>5V Input to 5V/1W Output, Isolated DIP Module</t>
  </si>
  <si>
    <t>http://www.ti.com/tool/PMP6838</t>
  </si>
  <si>
    <t>Flybuck Single Isolated SIP Module without Opto, 4.5 - 5.5V input, output: 5V @ 200mA</t>
  </si>
  <si>
    <t>http://www.ti.com/tool/PMP4440</t>
  </si>
  <si>
    <t>5Vin, Isolated +5Vout 1W SIP DC/DC Module Reference Design</t>
  </si>
  <si>
    <t>TPS55010, $0.90</t>
  </si>
  <si>
    <t>http://www.ti.com/tool/PMP4461</t>
  </si>
  <si>
    <t>5Vin, Isolated +5Vout 1W DC/DC Module Reference Design</t>
  </si>
  <si>
    <t>http://www.ti.com/lit/df/tidre77/tidre77.pdf</t>
  </si>
  <si>
    <t>Ref Design</t>
  </si>
  <si>
    <t>PMP6813</t>
  </si>
  <si>
    <t>PMP6838</t>
  </si>
  <si>
    <t>PMP4440</t>
  </si>
  <si>
    <t>PMP4461</t>
  </si>
  <si>
    <t>IC</t>
  </si>
  <si>
    <t>Ref Design, Year</t>
  </si>
  <si>
    <t>Webpage</t>
  </si>
  <si>
    <t>https://www.digikey.com/products/en/transformers/switching-converter-smps-transformers/168?k=TPS55010</t>
  </si>
  <si>
    <t>Transformers</t>
  </si>
  <si>
    <t>Transformers intended to be used with TPS55010</t>
  </si>
  <si>
    <t>https://www.digikey.com/product-detail/en/texas-instruments/TPS55010EVM-009/296-28812-ND/2667043</t>
  </si>
  <si>
    <t>TPS55010EVM-009</t>
  </si>
  <si>
    <t>TPS55010EVM-009, Low-Power, Isolated Fly-Buck Converter</t>
  </si>
  <si>
    <t>http://www.ti.com/lit/ds/symlink/tps55010.pdf</t>
  </si>
  <si>
    <t>19.5 x 9 x 6mm</t>
  </si>
  <si>
    <t>20.5 x 9 x 5.5mm</t>
  </si>
  <si>
    <t>TiReport_5V-to-3.3V_1W_isolated_converter_Tps55010</t>
  </si>
  <si>
    <t>Need isolation, 5V +- 0.5V input, 3.3V +- 0.15V output, 130mA/500mW output typical, design should probably support 260mA/1W max</t>
  </si>
  <si>
    <t>Need isolation, 5V +- 0.5V input, 12V +- 0.5V output, 3mA/36mW output typical, design should probably support 20mA/360mW max</t>
  </si>
  <si>
    <t>Vout (%) Accuracy</t>
  </si>
  <si>
    <t>Ref Design Options</t>
  </si>
  <si>
    <t>Design Report Options</t>
  </si>
  <si>
    <t>https://www.digikey.com/product-detail/en/cui-inc/PDSE1-S5-S12-S/102-6293-ND/10229828</t>
  </si>
  <si>
    <t>UNREGULATED (careful) !</t>
  </si>
  <si>
    <t>List of reference designs with 12V isolated output:</t>
  </si>
  <si>
    <t>http://www.ti.com/reference-designs/index.html#search?vinmin=-72,7.77&amp;vinmax=5.5&amp;iout=0.09999999999999998&amp;vout=12&amp;isolated=Isolated&amp;intype=DC</t>
  </si>
  <si>
    <t>Strategy</t>
  </si>
  <si>
    <t>TiReport_5V-to-3.3V_1W_NON_isolated_converter.pdf</t>
  </si>
  <si>
    <t>Report</t>
  </si>
  <si>
    <t>Tina Simulation</t>
  </si>
  <si>
    <t>TiReport_5V-to-3.3V_1W_NON_isolated_converter.tsc</t>
  </si>
  <si>
    <t>http://www.ti.com/lit/ds/symlink/tlv62568.pdf</t>
  </si>
  <si>
    <t>TLV62568 Ic, 2016 design, $0.16</t>
  </si>
  <si>
    <t>TLV62568</t>
  </si>
  <si>
    <t>BOM</t>
  </si>
  <si>
    <t>https://www.digikey.com/product-detail/en/recom-power/RFM-0505S/945-3159-ND/8550767</t>
  </si>
  <si>
    <t>RFM-0505S</t>
  </si>
  <si>
    <t>30 to 200</t>
  </si>
  <si>
    <r>
      <rPr>
        <sz val="9"/>
        <color rgb="FF00B0F0"/>
        <rFont val="Calibri Light"/>
        <family val="2"/>
      </rPr>
      <t xml:space="preserve">5V </t>
    </r>
    <r>
      <rPr>
        <sz val="9"/>
        <color theme="1"/>
        <rFont val="Calibri Light"/>
        <family val="2"/>
      </rPr>
      <t>+- 15%</t>
    </r>
  </si>
  <si>
    <r>
      <rPr>
        <sz val="9"/>
        <color rgb="FF00B0F0"/>
        <rFont val="Calibri Light"/>
        <family val="2"/>
      </rPr>
      <t>3.3V</t>
    </r>
    <r>
      <rPr>
        <sz val="9"/>
        <color theme="1"/>
        <rFont val="Calibri Light"/>
        <family val="2"/>
      </rPr>
      <t xml:space="preserve"> +- 15%</t>
    </r>
  </si>
  <si>
    <t>https://www.digikey.com/product-detail/en/monolithic-power-systems-inc/MPM3805GQB-33-Z/1589-1986-2-ND/5292918</t>
  </si>
  <si>
    <t>2.5 to 6</t>
  </si>
  <si>
    <r>
      <rPr>
        <sz val="9"/>
        <color rgb="FF00B0F0"/>
        <rFont val="Calibri Light"/>
        <family val="2"/>
      </rPr>
      <t>3.3V</t>
    </r>
    <r>
      <rPr>
        <sz val="9"/>
        <color theme="1"/>
        <rFont val="Calibri Light"/>
        <family val="2"/>
      </rPr>
      <t xml:space="preserve"> +- 3%</t>
    </r>
  </si>
  <si>
    <t xml:space="preserve"> (3mm x 2.5mm x 1mm H)</t>
  </si>
  <si>
    <t>MPM3805GQB-33-Z</t>
  </si>
  <si>
    <t>https://www.digikey.com/product-detail/en/torex-semiconductor-ltd/XCL210C331GR-G/893-1255-2-ND/5964729</t>
  </si>
  <si>
    <t>XCL210C331GR-G</t>
  </si>
  <si>
    <t xml:space="preserve">   similar to th above</t>
  </si>
  <si>
    <t>https://www.digikey.com/product-detail/en/samsung-electro-mechanics/CIG22L2R2MNE/1276-6211-2-ND/3971867</t>
  </si>
  <si>
    <t>CIG22L2R2MNE</t>
  </si>
  <si>
    <t>#CIG22L2R2MNE, 2.2uH, 1.3A, 80mOhm, $.06, 1008 (2.5 x 2mm)</t>
  </si>
  <si>
    <t>#CL31B106KAHNNNE, 10uF, 25V, 1206, $0.044</t>
  </si>
  <si>
    <t>https://www.digikey.com/product-detail/en/cui-inc/PEME1-S5-S3-S/102-6336-ND/10229871</t>
  </si>
  <si>
    <t>PEME1-S5-S3-S</t>
  </si>
  <si>
    <t>Safer, more space between vin and vout</t>
  </si>
  <si>
    <t>Arrow $1.84</t>
  </si>
  <si>
    <t>Tps55010, 2011 design, $.90 ti price</t>
  </si>
  <si>
    <t>https://www.digikey.com/product-detail/en/cui-inc/PEME1-S5-S5-S/102-6337-ND/10229872</t>
  </si>
  <si>
    <t>PEME1-S5-S5-S</t>
  </si>
  <si>
    <t>$1.67 GWI arrow price</t>
  </si>
  <si>
    <t>https://www.digikey.com/product-detail/en/murata-power-solutions-inc/NXE1S0505MC-R13/NXE1S0505MC-R13-ND/5047458</t>
  </si>
  <si>
    <t>$2.19 GWI arrow price</t>
  </si>
  <si>
    <t>NXE1S0505MC-R13</t>
  </si>
  <si>
    <t>https://www.digikey.com/product-detail/en/recom-power/R1SE-0505-R/945-1659-2-ND/3593408</t>
  </si>
  <si>
    <t>$2.17 GWI arrow price</t>
  </si>
  <si>
    <t>R1SE-0505-R</t>
  </si>
  <si>
    <t>SMT</t>
  </si>
  <si>
    <t>Mount</t>
  </si>
  <si>
    <t>thru hole</t>
  </si>
  <si>
    <t>1008, 2.50 x 2.00mm</t>
  </si>
  <si>
    <t>vin to vout space (in)</t>
  </si>
  <si>
    <t>0.1 (bad)</t>
  </si>
  <si>
    <t>Modules, Non-Isolated, Includes Regulation</t>
  </si>
  <si>
    <t>Regulated?</t>
  </si>
  <si>
    <t>not regulated</t>
  </si>
  <si>
    <t xml:space="preserve">See </t>
  </si>
  <si>
    <t>TiReport_5V-to-3.3V_1W_isolated_converter_SIX_DIFFERENT_DESIGNS.pdf</t>
  </si>
  <si>
    <t>TiReport_5V-to-3.3V_1W_isolated_converter_Lm5001.pdf</t>
  </si>
  <si>
    <t>Ti Webench only shows one that is regulated (via opto-coupler) and it uses Lm5001 and that is an old 2007 part.</t>
  </si>
  <si>
    <t>Ti Webench</t>
  </si>
  <si>
    <t>Design Reports, 5-to-3.3V, Iso</t>
  </si>
  <si>
    <t>St eDesign</t>
  </si>
  <si>
    <t>Does not see any 5V to 3.3V isolated solutions</t>
  </si>
  <si>
    <t xml:space="preserve">5-to-3.3V, Non-Isolated, Regulated, $0.35 Bom </t>
  </si>
  <si>
    <t>Use R1SE-0505-R Isolated non-regulated 5-to-5Vmodule ($2.17, smt, 6.5mm tall, 0.2" spacing) and 5-to-3.3V regulated Non-Isolated IC (#Tlv62568, $.35 bom)</t>
  </si>
  <si>
    <t>And, when we later design for manufacture, we can revisit this.</t>
  </si>
  <si>
    <t>Use R1SE-0512-R Isolated non-regulated 5-to-12Vmodule ($2.31, smt, 6.5mm tall, 0.2" spacing).  We only have 1 of these per string, so should not put much time into it.</t>
  </si>
  <si>
    <t>Simple non-isolated buck converter, non-isolated, regulated,</t>
  </si>
  <si>
    <t>Ti Webench only showed one part with integrated switches and low bom cost (LM76003)</t>
  </si>
  <si>
    <t>We only have one of these per string, so it is ok if it cost a little more money.</t>
  </si>
  <si>
    <t>If this fails, entire string goes down, so we should probably spend a little more money on this to get it rugged.</t>
  </si>
  <si>
    <t># of pcb per string</t>
  </si>
  <si>
    <t>5V pwr per pcb mA</t>
  </si>
  <si>
    <t>loss from efficiency</t>
  </si>
  <si>
    <t>total 5V demand mA</t>
  </si>
  <si>
    <t>total 5V supply mA</t>
  </si>
  <si>
    <t>http://www.alphawire.com/Home/Products/Wire/Hook-Up-Wire/Premium/3055?device=pdf</t>
  </si>
  <si>
    <t>18 gauge</t>
  </si>
  <si>
    <t>18gauge, 5uH/ft, 7mΩ/ft, 100ft (5uH, 700mΩ)</t>
  </si>
  <si>
    <t>EMI Input Filter</t>
  </si>
  <si>
    <t>http://www.ti.com/lit/ug/snvu562/snvu562.pdf</t>
  </si>
  <si>
    <t>LM76003 Evaluation Module User's Guide</t>
  </si>
  <si>
    <t>https://www.digikey.com/product-detail/en/samsung-electro-mechanics/CL10B104KB8NNNL/1276-CL10B104KB8NNNLTR-ND/3894274</t>
  </si>
  <si>
    <t>CL10B104KB8NNNL</t>
  </si>
  <si>
    <t>CL21B474KBFNNNG</t>
  </si>
  <si>
    <t>https://www.digikey.com/product-detail/en/samsung-electro-mechanics/CL21B474KBFNNNG/1276-6482-2-ND/3894539</t>
  </si>
  <si>
    <t>capacitance uF</t>
  </si>
  <si>
    <t>https://www.digikey.com/product-detail/en/bourns-inc/SRU1048-100Y/SRU1048-100YTR-ND/2352907</t>
  </si>
  <si>
    <t>SRU1048-100Y</t>
  </si>
  <si>
    <t>10 x 10mm, 5mm hi</t>
  </si>
  <si>
    <t>2.5Ω @ 10K, 0.27Ω @ 100KHz, 46mΩ @ 1MHz, 24mΩ @ 10MHz</t>
  </si>
  <si>
    <t>25Ω @ 10K, 2.6Ω @ 100KHz, 359mΩ @ 1MHz, 96mΩ @ 10MHz</t>
  </si>
  <si>
    <t>CL32B225KCJSNNF</t>
  </si>
  <si>
    <t>$0.08 is arrow price</t>
  </si>
  <si>
    <t>C1206C474K1REC7800</t>
  </si>
  <si>
    <t>1Ω @ 10K, 130mΩ @ 100KHz, 20mΩ @ 1MHz, 10mΩ @ 10MHz</t>
  </si>
  <si>
    <t>Chip Capacitor, 100V, &gt;= 1uF, -55 to 125C, 1210</t>
  </si>
  <si>
    <t>Chip Capacitor, 25V, &lt;= 1uF, -55 to 125C, 0603 or 0805</t>
  </si>
  <si>
    <t>https://www.digikey.com/product-detail/en/samsung-electro-mechanics/CL10B105KA8NNNL/CL10B105KA8NNNL-ND/3894279</t>
  </si>
  <si>
    <t>CL10B105KA8NNNL</t>
  </si>
  <si>
    <t xml:space="preserve"> 1.6Ω @ 10K, 180mΩ @ 100KHz, 24mΩ @ 1MHz, 8mΩ @ 10MHz</t>
  </si>
  <si>
    <t>Cff calculation</t>
  </si>
  <si>
    <t>Cff =</t>
  </si>
  <si>
    <t xml:space="preserve">Rfbt // Rfbb = </t>
  </si>
  <si>
    <t xml:space="preserve">Rfbb = </t>
  </si>
  <si>
    <t xml:space="preserve">Rfbt = </t>
  </si>
  <si>
    <t xml:space="preserve">Cout (F) = </t>
  </si>
  <si>
    <t xml:space="preserve">Vout (V) = </t>
  </si>
  <si>
    <t xml:space="preserve">Fx (Hz) = </t>
  </si>
  <si>
    <t>Rt calculation</t>
  </si>
  <si>
    <r>
      <t xml:space="preserve">Rt (k </t>
    </r>
    <r>
      <rPr>
        <sz val="11"/>
        <color theme="1"/>
        <rFont val="Calibri"/>
        <family val="2"/>
      </rPr>
      <t>Ω</t>
    </r>
    <r>
      <rPr>
        <sz val="11"/>
        <color theme="1"/>
        <rFont val="Calibri"/>
        <family val="2"/>
        <scheme val="minor"/>
      </rPr>
      <t>) =</t>
    </r>
  </si>
  <si>
    <t>Vin Min/Max</t>
  </si>
  <si>
    <t xml:space="preserve">t on-min (sec) = </t>
  </si>
  <si>
    <t xml:space="preserve">t off-min (sec) = </t>
  </si>
  <si>
    <t xml:space="preserve">V in_max = </t>
  </si>
  <si>
    <t xml:space="preserve">V in_min = </t>
  </si>
  <si>
    <t xml:space="preserve">Freq (kHz) = </t>
  </si>
  <si>
    <t xml:space="preserve">Freq (Hz) = </t>
  </si>
  <si>
    <t>TiReport, 48V-to-5V, 700KHz, 5.2Vout.pdf</t>
  </si>
  <si>
    <t>CCM:</t>
  </si>
  <si>
    <t>Reference Design</t>
  </si>
  <si>
    <t xml:space="preserve"> * 500KHz clock failed to start, according to sim. 1MHz started yet was less efficient (drives mosfet capacitance more). Settled on 700KHz. </t>
  </si>
  <si>
    <t xml:space="preserve"> -- contains simulation results</t>
  </si>
  <si>
    <t>Load: 0.5W to 10W</t>
  </si>
  <si>
    <t>Vin: 36 to 56V, 48 nominal</t>
  </si>
  <si>
    <t>Vout: 5.2V +- 0.2V</t>
  </si>
  <si>
    <t xml:space="preserve"> * Simulator shows working ok, 36..56Vin, 0.5W..10W load</t>
  </si>
  <si>
    <t xml:space="preserve"> -- graph of waveforms</t>
  </si>
  <si>
    <t>Renogy 20x26"</t>
  </si>
  <si>
    <t>Weight (LBs)</t>
  </si>
  <si>
    <t>Weight (Kg)</t>
  </si>
  <si>
    <t>Size (m^2)</t>
  </si>
  <si>
    <t>Kg/m^2</t>
  </si>
  <si>
    <t>Width (m)</t>
  </si>
  <si>
    <t>Length (m)</t>
  </si>
  <si>
    <t>Area (m^2)</t>
  </si>
  <si>
    <t>110/220 VAC-to-DC converter module, ~1W, Isolated, Non-regulated, PCB Mount</t>
  </si>
  <si>
    <t>#https://www.digikey.com/product-detail/en/amphenol-icc-fci/ID15P33E4GV00LF/609-5370-ND/4270441</t>
  </si>
  <si>
    <t>Connector Strategy</t>
  </si>
  <si>
    <t>48V-Array-Power+-</t>
  </si>
  <si>
    <t>Array-CANbus+-</t>
  </si>
  <si>
    <t>signaling</t>
  </si>
  <si>
    <t>Power Bus+ In (PBPi)</t>
  </si>
  <si>
    <t>analog shield</t>
  </si>
  <si>
    <t># of units</t>
  </si>
  <si>
    <t>1 ch</t>
  </si>
  <si>
    <t>Inp Bias nA Max@25C</t>
  </si>
  <si>
    <t>Design Year</t>
  </si>
  <si>
    <r>
      <t xml:space="preserve">1uS @ 100mVdiff </t>
    </r>
    <r>
      <rPr>
        <sz val="9"/>
        <color theme="9" tint="-0.249977111117893"/>
        <rFont val="Calibri Light"/>
        <family val="2"/>
      </rPr>
      <t>(SLOW)</t>
    </r>
  </si>
  <si>
    <t>Output Type</t>
  </si>
  <si>
    <t>Open Coll</t>
  </si>
  <si>
    <t>4 ch</t>
  </si>
  <si>
    <t>Isolated</t>
  </si>
  <si>
    <t>Not-Isolated</t>
  </si>
  <si>
    <t>CANbus Transcievers</t>
  </si>
  <si>
    <t>https://www.digikey.com/product-detail/en/nxp-usa-inc/TJA1057GTJ/568-13280-2-ND/4843407</t>
  </si>
  <si>
    <t>CMV volts</t>
  </si>
  <si>
    <t xml:space="preserve"> +-42V</t>
  </si>
  <si>
    <t>5+-0.25V</t>
  </si>
  <si>
    <t>3 to 5.25V</t>
  </si>
  <si>
    <t>none</t>
  </si>
  <si>
    <t>0.1 to 1.5mA silent</t>
  </si>
  <si>
    <t>TJA1057GTJ</t>
  </si>
  <si>
    <t>Max Speed Mbps</t>
  </si>
  <si>
    <t>Wire AWG</t>
  </si>
  <si>
    <t>total current mA</t>
  </si>
  <si>
    <t>total voltage drop mV</t>
  </si>
  <si>
    <t>24 x 3</t>
  </si>
  <si>
    <t>Wire mW Heating</t>
  </si>
  <si>
    <t>Wire Watt Heating</t>
  </si>
  <si>
    <t>total current Amps</t>
  </si>
  <si>
    <t>two adjacent strings</t>
  </si>
  <si>
    <t>https://www.infineon.com/dgdl/Infineon-XMC4100_XMC4200_DS-DS-v01_04-EN.pdf?fileId=5546d462696dbf120169817056f938ff</t>
  </si>
  <si>
    <t>leakage uA</t>
  </si>
  <si>
    <t>master controller to first Current Source element</t>
  </si>
  <si>
    <t>master controller to last current source inverter</t>
  </si>
  <si>
    <t>total Volts drop (both wires)</t>
  </si>
  <si>
    <t>Volts drop, just Pwr- wire</t>
  </si>
  <si>
    <t>Condition</t>
  </si>
  <si>
    <t>&gt; use the 14V-above-me-or-more wire --- MEASURE WITH 20nA leakage Mux and a/d (due to low leakage)</t>
  </si>
  <si>
    <t>Opto-Coupler</t>
  </si>
  <si>
    <t>LTV-826S-TA</t>
  </si>
  <si>
    <t>https://www.digikey.com/product-detail/en/lite-on-inc/LTV-826S-TA/LTV-826S-TA-ND/388464</t>
  </si>
  <si>
    <t>NSI50010YT1G</t>
  </si>
  <si>
    <t>https://www.digikey.com/product-detail/en/on-semiconductor/NSI50010YT1G/NSI50010YT1GOSTR-ND/2271548</t>
  </si>
  <si>
    <t>10mA +-30%</t>
  </si>
  <si>
    <t>https://www.digikey.com/product-detail/en/on-semiconductor/FAN4010IL6X/FAN4010IL6XTR-ND/4562740</t>
  </si>
  <si>
    <t>FAN4010IL6X</t>
  </si>
  <si>
    <t>need to add 4V zener to create pwr at GND pin (200uA*50V = 10mW), and then voltage divider for 100uA of current, NO SPICE CODE</t>
  </si>
  <si>
    <t xml:space="preserve">spice is encrypted and useless. There is spice for CCLHM100. LM334 is similar yet no spice/tina. </t>
  </si>
  <si>
    <t>http://optoelectronics.liteon.com/en-global/Led/LED-Component/Detail/661/0/LTV-826</t>
  </si>
  <si>
    <t>product:</t>
  </si>
  <si>
    <t>2channel, 1mA input with 0.5mA transistor current output (50% @ 5mA)</t>
  </si>
  <si>
    <t>no spice</t>
  </si>
  <si>
    <t>https://www.digikey.com/products/en/isolators/optoisolators-transistor-photovoltaic-output/903?k=&amp;pkeyword=&amp;sv=0&amp;pv598=67627&amp;sf=0&amp;FV=7%7C1%2C1989%7C0%2Cii2%7C2093%2C-8%7C903%2C598%7C181806%2C598%7C181808%2C598%7C212934%2C598%7C236328%2C598%7C236330%2C598%7C255645%2C598%7C255647%2C598%7C67627%2C598%7C68174&amp;quantity=&amp;ColumnSort=1000011&amp;page=1&amp;pageSize=25</t>
  </si>
  <si>
    <t>onSemi:</t>
  </si>
  <si>
    <t>https://www.onsemi.com/products/optoelectronics/phototransistor-optocouplers/phototransistor-output---dc-sensing-input-optocouplers/mocd217m</t>
  </si>
  <si>
    <t>Vishay spice Carriage Returns are screwy. Need to first open in LtSpice, copy text to clipboard, paste into .txt NotePad file, and then import that Notepad file into TINA</t>
  </si>
  <si>
    <t>https://www.digikey.com/product-detail/en/nexperia-usa-inc/TL431ACDBZRVL/TL431ACDBZRVL-ND/7495801</t>
  </si>
  <si>
    <t>TL431ACDBZRVL</t>
  </si>
  <si>
    <t xml:space="preserve">ELD217 </t>
  </si>
  <si>
    <t xml:space="preserve"> &gt; 2nd Source: Vishay #VOD217 ($0.35, spice has transistor always ON and not linked to diode), Vishay #ILD217T ($.47), OnSemi #MOCD217R2M (no spice, $.34), Everlight #ELD217 (no spice, $.21)</t>
  </si>
  <si>
    <t>https://www.digikey.com/product-detail/en/micro-commercial-co/MMBTA92-TP/MMBTA92-TPTR-ND/819638</t>
  </si>
  <si>
    <t>MMBTA92-TP</t>
  </si>
  <si>
    <t>1x PNP</t>
  </si>
  <si>
    <t>https://www.digikey.com/product-detail/en/micro-commercial-co/MMBTA13-TP/1505-MMBTA13-TPTR-CHP/4765962</t>
  </si>
  <si>
    <t>MMBTA13-TP</t>
  </si>
  <si>
    <t>5k @ 10mA</t>
  </si>
  <si>
    <t>https://www.digikey.com/product-detail/en/on-semiconductor/BAS21TMR6T1G/BAS21TMR6T1GOSTR-ND/4847539</t>
  </si>
  <si>
    <t>BAS21TMR6T1G</t>
  </si>
  <si>
    <t>SOT-363 (3x diodes, 25mil pitch)</t>
  </si>
  <si>
    <t>100mA: 1Vf @ 25C max</t>
  </si>
  <si>
    <t>surge max current (A)</t>
  </si>
  <si>
    <t>Vf @ 25C</t>
  </si>
  <si>
    <r>
      <t xml:space="preserve">SC-74 (3x diodes, </t>
    </r>
    <r>
      <rPr>
        <sz val="9"/>
        <color theme="9" tint="-0.249977111117893"/>
        <rFont val="Calibri Light"/>
        <family val="2"/>
      </rPr>
      <t>40mil</t>
    </r>
    <r>
      <rPr>
        <sz val="9"/>
        <color theme="1"/>
        <rFont val="Calibri Light"/>
        <family val="2"/>
      </rPr>
      <t xml:space="preserve"> pitch)</t>
    </r>
  </si>
  <si>
    <t>String Adjacent Communication - Processors transmits bit from string element N</t>
  </si>
  <si>
    <t>Array Adjacent Communication - Element #0 String "N" Processor transmits bit to Element #0 String "N+1" processor</t>
  </si>
  <si>
    <t>4 Types of PCB's</t>
  </si>
  <si>
    <t>ID Bits</t>
  </si>
  <si>
    <t>String_Base (1), String_Middle (2), String_Top (3), Master_Controller (0)</t>
  </si>
  <si>
    <t>2 bits on PCB tells software which of the 4 pcb's they are on.</t>
  </si>
  <si>
    <t xml:space="preserve">  master_controller sets bit, element that got bit is ID #1, element with that ID now sets bit, etc</t>
  </si>
  <si>
    <t>&gt; Array CANbus broadcasts commands to all Base elements (one per string): set bit, measure voltage, clear bit, measure voltage,</t>
  </si>
  <si>
    <t>&gt; Multiple String CANbus broadcasts commands to all elements in String: set bit, measure voltage, clear bit, measure voltage,</t>
  </si>
  <si>
    <t xml:space="preserve">  String_To sets bit, element that got bit is String Element index #K, element with that index now sets bit, etc</t>
  </si>
  <si>
    <t>HiPwrOn_BUS on 1 x 24 gauge Long Wire</t>
  </si>
  <si>
    <t>Volts drop, just one wire</t>
  </si>
  <si>
    <t>between 1st and last element of one string (string HiPwrOn)</t>
  </si>
  <si>
    <t>between MasterController and last StringBase in array (array HiPwrOn)</t>
  </si>
  <si>
    <t># of ft (distance)</t>
  </si>
  <si>
    <t>26 x 2</t>
  </si>
  <si>
    <t>Gate Driver</t>
  </si>
  <si>
    <t xml:space="preserve">  Datasheets</t>
  </si>
  <si>
    <t>Copper Foil</t>
  </si>
  <si>
    <t>1x NPN Darlington</t>
  </si>
  <si>
    <t>https://www.digikey.com/product-detail/en/micro-commercial-co/MMDT5551-TP/MMDT5551-TPTR-ND/819645</t>
  </si>
  <si>
    <r>
      <t>MM</t>
    </r>
    <r>
      <rPr>
        <sz val="9"/>
        <color theme="9" tint="-0.249977111117893"/>
        <rFont val="Calibri Light"/>
        <family val="2"/>
      </rPr>
      <t>D</t>
    </r>
    <r>
      <rPr>
        <sz val="9"/>
        <color theme="1"/>
        <rFont val="Calibri Light"/>
        <family val="2"/>
      </rPr>
      <t>T5551-TP</t>
    </r>
  </si>
  <si>
    <r>
      <t>MM</t>
    </r>
    <r>
      <rPr>
        <sz val="9"/>
        <color theme="9" tint="-0.249977111117893"/>
        <rFont val="Calibri Light"/>
        <family val="2"/>
      </rPr>
      <t>B</t>
    </r>
    <r>
      <rPr>
        <sz val="9"/>
        <color theme="1"/>
        <rFont val="Calibri Light"/>
        <family val="2"/>
      </rPr>
      <t>T5551LT3G</t>
    </r>
  </si>
  <si>
    <t>SOT-363, 25mil pitch</t>
  </si>
  <si>
    <t>same as above yet 2 in one package</t>
  </si>
  <si>
    <r>
      <rPr>
        <sz val="9"/>
        <color theme="9" tint="-0.249977111117893"/>
        <rFont val="Calibri Light"/>
        <family val="2"/>
      </rPr>
      <t>2x</t>
    </r>
    <r>
      <rPr>
        <sz val="9"/>
        <color theme="1"/>
        <rFont val="Calibri Light"/>
        <family val="2"/>
      </rPr>
      <t xml:space="preserve"> NPN</t>
    </r>
  </si>
  <si>
    <t>https://www.digikey.com/product-detail/en/diodes-incorporated/BC847BS-7-F/BC847BS-7FDITR-ND/1934453</t>
  </si>
  <si>
    <t>BC847BS-7-F</t>
  </si>
  <si>
    <t>200 @ 2mA</t>
  </si>
  <si>
    <t>.1V@.5mA</t>
  </si>
  <si>
    <t>CE Volts saturation</t>
  </si>
  <si>
    <t>BE Volts saturation</t>
  </si>
  <si>
    <t>.8V@.5mA</t>
  </si>
  <si>
    <t>HiPwrOn @ Source (Volts)</t>
  </si>
  <si>
    <t>Vdrop Both Wires</t>
  </si>
  <si>
    <t>HiPwrOn @ Dest (Volts)</t>
  </si>
  <si>
    <t>Opto Input Vf Volts</t>
  </si>
  <si>
    <t>Opto Input Diode mA</t>
  </si>
  <si>
    <r>
      <t xml:space="preserve">Opto Rin Resistor </t>
    </r>
    <r>
      <rPr>
        <sz val="9"/>
        <color theme="1"/>
        <rFont val="Calibri"/>
        <family val="2"/>
      </rPr>
      <t>Ω</t>
    </r>
  </si>
  <si>
    <t>big voltage drop across long wires (GndSense and HiPwrOn)</t>
  </si>
  <si>
    <t>Volts across Rin Resistor</t>
  </si>
  <si>
    <t>Vdrop One Wire</t>
  </si>
  <si>
    <t>tiny voltage drop on wires</t>
  </si>
  <si>
    <t>Voltage drop on wires and current into diode</t>
  </si>
  <si>
    <t>CANbus</t>
  </si>
  <si>
    <t>HR PWM</t>
  </si>
  <si>
    <t>XMC4104</t>
  </si>
  <si>
    <t>XMC4100</t>
  </si>
  <si>
    <t>XMC4108</t>
  </si>
  <si>
    <t>XMC4200</t>
  </si>
  <si>
    <t>USB</t>
  </si>
  <si>
    <t>XMC4500</t>
  </si>
  <si>
    <t>Ethernet</t>
  </si>
  <si>
    <t>Cost</t>
  </si>
  <si>
    <t>Array-HiPwrOn</t>
  </si>
  <si>
    <t>Base-to-Base Communication in/out</t>
  </si>
  <si>
    <t>optically isolated</t>
  </si>
  <si>
    <t>digital in/out</t>
  </si>
  <si>
    <t>close to earth ground, little current</t>
  </si>
  <si>
    <t># of signals</t>
  </si>
  <si>
    <t># of pins in connector</t>
  </si>
  <si>
    <t>Power Bus+ Out (PBPO)</t>
  </si>
  <si>
    <t>Power Bus- In (PBMi)</t>
  </si>
  <si>
    <t>Power Bus- Out (PBMO)</t>
  </si>
  <si>
    <t>Daisychain String-Bases</t>
  </si>
  <si>
    <t>Daisychain String-Top (last elements of each string)</t>
  </si>
  <si>
    <t>Daisychain All Elements within Each String</t>
  </si>
  <si>
    <t>Dasy-chain 0th elements of each string (current sources, referenced to ground)</t>
  </si>
  <si>
    <t>String Control Out (SCO)</t>
  </si>
  <si>
    <t>Array Control Out (ACO)</t>
  </si>
  <si>
    <t>Array Control In (ACi)</t>
  </si>
  <si>
    <t>signal name</t>
  </si>
  <si>
    <t>String Control In (SCi)</t>
  </si>
  <si>
    <t>5V-String-Power+-</t>
  </si>
  <si>
    <t>String-CANbus+-</t>
  </si>
  <si>
    <t>String-HiPwrOn</t>
  </si>
  <si>
    <t>14V-above-me</t>
  </si>
  <si>
    <t>PV+ (PVP)</t>
  </si>
  <si>
    <t>MC4</t>
  </si>
  <si>
    <t>DB25</t>
  </si>
  <si>
    <t>connector</t>
  </si>
  <si>
    <t>PV- (PVM)</t>
  </si>
  <si>
    <t>https://www.infineon.com/cms/en/product/microcontroller/32-bit-industrial-microcontroller-based-on-arm-cortex-m/32-bit-xmc4000-industrial-microcontroller-arm-cortex-m4/xmc4200-f64k256-ba/</t>
  </si>
  <si>
    <t>https://www.infineon.com/dgdl/Infineon-XMC4200_Microcontroller_Digital_Power_Control_Card_User_Manual-UM-v01_01-EN.pdf?fileId=5546d4625185e0e201518bf18e663e3b</t>
  </si>
  <si>
    <t>https://www.infineon.com/dgdl/xmc4100_xmc4200_rm_v1.5_2014_04.pdf?fileId=db3a30433afc7e3e013b3c44ccd35c20&amp;ack=t</t>
  </si>
  <si>
    <t>Reference Manual</t>
  </si>
  <si>
    <t xml:space="preserve"> * All processors have: 9 ADC channels, 2 DAC, 1x4 CCU8, 2x4 CCU4</t>
  </si>
  <si>
    <t xml:space="preserve"> * 48pin package (21 i/o), 64pin package (35 i/o)</t>
  </si>
  <si>
    <t xml:space="preserve"> * Xmc42xx has 256kb flash and 40kb ram, Xmc41xx has less flash and 20kb ram</t>
  </si>
  <si>
    <t>Features</t>
  </si>
  <si>
    <t>https://www.arrow.com/en/products/kit600wllcdictrltobo1/infineon-technologies-ag?gclid=Cj0KCQiApt_xBRDxARIsAAMUMu_t1SjBwkb2eKccGr0eBlSM7OOE-aQ8EwE3t9mimfOPZTvkQNklbMYaAnNSEALw_wcB</t>
  </si>
  <si>
    <t>https://www.mouser.com/datasheet/2/196/Infineon-XMC4200_Platform2Go-UserManual-v01_00-EN-1710896.pdf</t>
  </si>
  <si>
    <t>https://www.mouser.com/datasheet/2/196/Infineon-XMC_DigitalPowerExplorerPowerBoard_UserMa-843873.pdf</t>
  </si>
  <si>
    <t>Mouser</t>
  </si>
  <si>
    <t>https://www.mouser.com/ProductDetail/Infineon-Technologies/KITXMCDPEXP01TOBO1?qs=sGAEpiMZZMtw0nEwywcFgC85QKRiEsK%252B5XSUB6RvG%2FmI%2FiaFU8%2FOfg%3D%3D</t>
  </si>
  <si>
    <t>Power Explorer, KITXMCDPEXP01TOBO1</t>
  </si>
  <si>
    <t xml:space="preserve">XMC4200 Digital Power Control Card </t>
  </si>
  <si>
    <r>
      <t>XMC4200 Platform2Go</t>
    </r>
    <r>
      <rPr>
        <sz val="9"/>
        <color theme="1"/>
        <rFont val="Calibri"/>
        <family val="2"/>
        <scheme val="minor"/>
      </rPr>
      <t>, #KITXMCPLT2GOXMC4200TOBO1</t>
    </r>
  </si>
  <si>
    <t>https://www.infineon.com/dgdl/Infineon-AP32319_Synchronous_Buck_converter_with_XMC_Digital_Power_Explorer_Kit-AN-v01_00-EN.pdf?fileId=5546d462557e6e8901559b9168515eec</t>
  </si>
  <si>
    <t>Reference Boards</t>
  </si>
  <si>
    <t>Introduction to Digital Power Conversion</t>
  </si>
  <si>
    <t>https://www.infineon.com/dgdl/Infineon-XMC4000_XMC1000_%20Introduction_to_Digital_Power_Conversion-AN-v01_00-EN.pdf?fileId=5546d4624b0b249c014b497c0c33089e</t>
  </si>
  <si>
    <t>Synchronous buck converter with XMC™ Digital Power Explorer Kit (Xmc4200), #AP32319</t>
  </si>
  <si>
    <t>https://www.mouser.com/ProductDetail/Infineon-Technologies/KIT_XMC42_EE1_001?qs=sGAEpiMZZMtw0nEwywcFgEGMWnGditqEr%252B8rK%2FgleCWToYxWgkbprA%3D%3D</t>
  </si>
  <si>
    <t>https://www.mouser.com/datasheet/2/196/Board_Users_Manual_CPU_Board_XMC4400_General_Purpo-597346.pdf</t>
  </si>
  <si>
    <t>Xmc4400 Hexagon, CPU_44A-V2, KIT_XMC42_EE1_001</t>
  </si>
  <si>
    <t>XMC4200-Q48K256, Adaptor</t>
  </si>
  <si>
    <t>Arrow</t>
  </si>
  <si>
    <t>$60, in stock, 48pin Xmc4200 plug in</t>
  </si>
  <si>
    <t>https://www.arrow.com/en/products/kitxmcdpexp01tobo1/infineon-technologies-ag</t>
  </si>
  <si>
    <t>https://www.arrow.com/en/products/kit-xmc42-ee1-001/infineon-technologies-ag</t>
  </si>
  <si>
    <t>no stock, probably discontinued</t>
  </si>
  <si>
    <t>Xmc4200 Hexagon</t>
  </si>
  <si>
    <t>https://www.infineon.com/dgdl/Infineon-XMC_Digital_Power_Explorer_Kit-PB-v01_00-EN.pdf?fileId=5546d4624cb7f111014d567253657a33</t>
  </si>
  <si>
    <t>https://www.infineon.com/dgdl/Infineon-XMC_DigitalPowerExplorer_GettingStarted-GS-v01_00-EN.pdf?fileId=5546d4625185e0e201518c0d45c13e50</t>
  </si>
  <si>
    <t>Xmc42xx Processor</t>
  </si>
  <si>
    <t>https://www.infineon.com/dgdl/Infineon-Application-Power-Conversion-XMC-in-Power-Conversion-Applications_2-TR-v01_00-EN.pdf?fileId=5546d462576f34750157dcc78cd22555</t>
  </si>
  <si>
    <t>Vin hi min</t>
  </si>
  <si>
    <t>Vin lo max</t>
  </si>
  <si>
    <t>https://www.infineon.com/dgdlc/en?dcId=8a8181663431cb50013431cb500b0000&amp;downloadTitle=Infineon-PCB_Sources_Eagle_XMC42DP_CC-PCB-v01_00-EN.zip&amp;download=L2RnZGwvSW5maW5lb24tUENCX1NvdXJjZXNfRWFnbGVfWE1DNDJEUF9DQy1QQ0ItdjAxXzAwLUVOLnppcD9maWxlSWQ9NTU0NmQ0NjI1MTg1ZTBlMjAxNTE4YzNiMWMwNDNlOTk=</t>
  </si>
  <si>
    <t>https://www.infineon.com/cms/de/product/evaluation-boards/kit_xmc_dp_exp_01/</t>
  </si>
  <si>
    <t>gsw folder "PCB_Sources_Design_Spark_XMC_DP_EXP_V1_Power_Board_V1"</t>
  </si>
  <si>
    <t>Product Webpage</t>
  </si>
  <si>
    <t>XMC 4200 Digital Power Control Card User Manual</t>
  </si>
  <si>
    <t>XMC™ Digital Power Explorer Getting Started</t>
  </si>
  <si>
    <r>
      <t>XMC™ Digital Power Explorer Power Board User Manual</t>
    </r>
    <r>
      <rPr>
        <sz val="9"/>
        <color theme="1"/>
        <rFont val="Calibri Light"/>
        <family val="2"/>
      </rPr>
      <t>, UG_201511_PL30_001</t>
    </r>
  </si>
  <si>
    <t>PCB Sources Eagle XMC42DP CC</t>
  </si>
  <si>
    <t>PCB Sources Design Spark XMC™ DP EXP V1 Power Board</t>
  </si>
  <si>
    <t>Platform for Infineon XMC4200 Digital Power Control Card, $136/stock mouser</t>
  </si>
  <si>
    <t>https://www.infineon.com/cms/en/search.html#!term=KIT_XMC_DP_EXP_01&amp;view=all</t>
  </si>
  <si>
    <t>Example Software Buck Voltage Control Mode plus House Keeping with XMC4200</t>
  </si>
  <si>
    <t>Example Software Buck Peak Current Control with XMC4200</t>
  </si>
  <si>
    <t>Example Software Buck Voltage Control Mode with XMC4200</t>
  </si>
  <si>
    <t>See gsw folder "Example Software Buck, XMC4200"</t>
  </si>
  <si>
    <t>See gsw folder "Example Software Buck Peak, XMC4200"</t>
  </si>
  <si>
    <t>See gsw folder "Example Software Buck Voltage, XMC4200"</t>
  </si>
  <si>
    <t>See gsw folder "PCB_Sources_Eagle_XMC42DP_CC_V1", 48pin processor</t>
  </si>
  <si>
    <t>pcb art</t>
  </si>
  <si>
    <t>software</t>
  </si>
  <si>
    <t>https://www.infineon.com/dgdl/Infineon-XMC_Digital_Power_Explorer_Kit_with_XMC4200_and_XMC1300_QSG-GS-v01_01-EN.pdf?fileId=5546d462503812bb01504ba7066039b7</t>
  </si>
  <si>
    <t>XMC™ digital power explorer kit with XMC4200 and XMC1300, Quick Start Guide</t>
  </si>
  <si>
    <t>XMC Digital Power Explorer Kit Product Brief</t>
  </si>
  <si>
    <t>Simulate ONLINE - 12V Synchronous Buck Converter</t>
  </si>
  <si>
    <t>simulation</t>
  </si>
  <si>
    <t>See gsw folder "Simulate ONLINE - 12V Synchronous Buck Converter"</t>
  </si>
  <si>
    <t>XMC440x</t>
  </si>
  <si>
    <t>https://www.infineon.com/dgdl/Infineon-DAVE_Quick_Start-GS-v02_00-EN.pdf?fileId=5546d4624cb7f111014d059f7b8c712d</t>
  </si>
  <si>
    <t>DAVE™ version 4 – Quick Start Simple LED Blinky via a Generated PWM Signal</t>
  </si>
  <si>
    <t>https://www.infineon.com/dgdl/Infineon-AP32300_XMC_MultiCAN-AN-v01_00-EN.pdf?fileId=5546d462557e6e890155a049fb915be3</t>
  </si>
  <si>
    <t>AP32300 - XMC1400/XMC4000 - Controller Area Network Controller (MultiCAN)</t>
  </si>
  <si>
    <t>AP32305 - XMC4000 - Versatile to Digital Converter(VADC) - Example Code</t>
  </si>
  <si>
    <t>gsw folder "Example Software, AP32305, XMC4000, ADC"</t>
  </si>
  <si>
    <t>Xmc Processors</t>
  </si>
  <si>
    <t>https://www.infineon.com/dgdl/Infineon-ApplicationNote-AP32331-XMCx000-Interrupt-subsystem-AN-v01_00-EN.pdf?fileId=5546d46253f65057015471bc641e77da</t>
  </si>
  <si>
    <t>Interrupt subsystem, Xmc4200, AP32331</t>
  </si>
  <si>
    <t>https://www.infineon.com/dgdl/Infineon-XMC-peak-current-control-in-XMC4-TR-v01_00-EN.pdf?fileId=5546d46253f650570154610003fd7f70</t>
  </si>
  <si>
    <t>Peak current control in XMC4</t>
  </si>
  <si>
    <t>https://www.infineon.com/dgdl/Infineon-Application_Power_Conversion_Power_Factor_Correction_(PFC)_with_XMC-TR-v01_00-EN.pdf?fileId=5546d4625696ed7601569c7cf64607ab</t>
  </si>
  <si>
    <t>Application - Power Factor Correction (PFC) with XMC</t>
  </si>
  <si>
    <t>Application - Power conversion - Power Management Bus (PMBus™)</t>
  </si>
  <si>
    <t>https://www.infineon.com/dgdl/Infineon-Application-power-conversion-power-management-Bus-PMBus-TR-v01_00-EN.pdf?fileId=5546d4625607bd1301564f46c4845cdb</t>
  </si>
  <si>
    <t>Application - Power Conversion - XMC™ in Power Conversion Applications</t>
  </si>
  <si>
    <t>https://www.infineon.com/dgdl/Infineon-IP_CCU8_XMC-TR-v01_02-EN.pdf?fileId=5546d4624ad04ef9014b0780b3482262</t>
  </si>
  <si>
    <t>Peripheral - Capture and Compare Unit 4 (CCU4)</t>
  </si>
  <si>
    <t>Peripheral - Capture and Compare Unit 8 (CCU8)</t>
  </si>
  <si>
    <t>https://www.infineon.com/dgdl/Infineon-IP_DAC_XMC4-TR-v01_01-EN.pdf?fileId=5546d4624ad04ef9014b07777ae2225f</t>
  </si>
  <si>
    <t>Peripheral - Digital to Analog Converter (DAC)</t>
  </si>
  <si>
    <t>https://www.infineon.com/dgdl/Infineon-IP_MultiController_Area_Network_MultiCAN-TR-v01_00-EN.pdf?fileId=5546d46254e133b401554de8f66b5e19</t>
  </si>
  <si>
    <t>Peripheral - Multi-Controller Area Network (MultiCAN)</t>
  </si>
  <si>
    <t>Peripheral - Universal Serial Interface Channel (USIC)</t>
  </si>
  <si>
    <t>https://www.infineon.com/dgdl/Infineon-IP_USIC_XMC-TR-v01_01-EN.pdf?fileId=5546d4624ad04ef9014b0781205d2270</t>
  </si>
  <si>
    <t>Peripheral - XMC4000 Versatile Analog to Digital Converter (VADC)</t>
  </si>
  <si>
    <t>https://www.infineon.com/dgdl/Infineon-Peripheral%20-%20XMC4000%20Versatile%20Analog%20to%20Digital%20Converter%20(VADC)-TR-v01_00-EN.pdf?fileId=5546d462580663ef01582a3df0783e2f</t>
  </si>
  <si>
    <t>https://www.infineon.com/dgdl/Infineon-Tooling%20-%20XMC4000%20boot%20mode%20options-TR-v01_00-EN.pdf?fileId=5546d4625696ed7601569d06286314d8</t>
  </si>
  <si>
    <t>Tooling - XMC4000 boot mode options</t>
  </si>
  <si>
    <t>https://www.infineon.com/dgdl/Infineon-Tooling_XMC_Class-B_library_Software-TR-v01_00-EN.pdf?fileId=5546d46256fb43b30157659e3f1e7d4f</t>
  </si>
  <si>
    <t>Tooling - XMC™ Class-B library software</t>
  </si>
  <si>
    <t>Xmc Processor Modules</t>
  </si>
  <si>
    <t>Xmc Tools</t>
  </si>
  <si>
    <t>Product Page, XMC4200F64K256BAXQSA1</t>
  </si>
  <si>
    <t>Xmc Application Notes</t>
  </si>
  <si>
    <t>Xmc Power Application Notes</t>
  </si>
  <si>
    <t>Wurth Sells These with xmc4200 and xmc1300, part #IC-744726</t>
  </si>
  <si>
    <t>Digikey</t>
  </si>
  <si>
    <t>WE Flyer</t>
  </si>
  <si>
    <t>https://www.we-online.com/web/fr/index.php/show/media/07_electronic_components/produkte_3/digital_power/Flyer.pdf</t>
  </si>
  <si>
    <t xml:space="preserve"> &gt; we-online.com chat says control card not sold seperately</t>
  </si>
  <si>
    <t>Xmc4200 Processor Resources</t>
  </si>
  <si>
    <t>Processor Pins</t>
  </si>
  <si>
    <t>Utilize all a/d pins for amplifier outputs and connected to MUX.</t>
  </si>
  <si>
    <t>Mux Control</t>
  </si>
  <si>
    <t>PWM</t>
  </si>
  <si>
    <t>Drive muxes and switches</t>
  </si>
  <si>
    <t>dout pins to drive gate drivers, two drivers, two pins each</t>
  </si>
  <si>
    <t>HiPwrOn</t>
  </si>
  <si>
    <t>Interface Pins</t>
  </si>
  <si>
    <t>A/D Vin</t>
  </si>
  <si>
    <t>PV Diode Mosfet</t>
  </si>
  <si>
    <t>Safety Mosfet</t>
  </si>
  <si>
    <t>Bypass Mosfet</t>
  </si>
  <si>
    <t>14V Power Supply</t>
  </si>
  <si>
    <t>https://www.diodes.com/part/view/AP2602?BackID=8270</t>
  </si>
  <si>
    <t>not available as of Feb 2020 - and datasheet says "2012", attach 4 thermistors and series resistors, 4x open collector outputs,</t>
  </si>
  <si>
    <t>talk to next element</t>
  </si>
  <si>
    <t>base units talk to each other</t>
  </si>
  <si>
    <t>String-CanBus</t>
  </si>
  <si>
    <t>Array-CanBus</t>
  </si>
  <si>
    <t>enable sense, disable control, power good sense</t>
  </si>
  <si>
    <t>status sense, engage control</t>
  </si>
  <si>
    <t>status sense</t>
  </si>
  <si>
    <t>string-HiPwrOn and Array-HiPwrOn, Transmit and Receive</t>
  </si>
  <si>
    <t>processor dout</t>
  </si>
  <si>
    <t>processor din</t>
  </si>
  <si>
    <t>processor A/D vin</t>
  </si>
  <si>
    <t>FPGA dout</t>
  </si>
  <si>
    <t>FPGA din</t>
  </si>
  <si>
    <t>Total:</t>
  </si>
  <si>
    <t>Eeprom</t>
  </si>
  <si>
    <t>uP talks to eeprom</t>
  </si>
  <si>
    <t>Debug Connectors</t>
  </si>
  <si>
    <t>Temp Sensors</t>
  </si>
  <si>
    <t>Install 5 temperature sensors (e.g. Tmp302) that turn on if they see &gt; 95C, to protect parts.</t>
  </si>
  <si>
    <t>5x 95C temp sensors</t>
  </si>
  <si>
    <t>Attach eeprom to processor, 2 pins (eeprom_clock, eeprom_data), see Xm4200 ref pcb for example. Do not use obsolete #CAT24AA04.</t>
  </si>
  <si>
    <t>Debug connector</t>
  </si>
  <si>
    <t>LED's</t>
  </si>
  <si>
    <t>Attach processor to two led's, see xmc4200 ref pcb #LED100 and #LED101</t>
  </si>
  <si>
    <t>Attach processor USB D+- pins to USB connector, see xmc4200 ref design USB connector #X302C</t>
  </si>
  <si>
    <t>processor specialized</t>
  </si>
  <si>
    <t>Attach processor to 2 debug connectors, see xmc4200 ref pcb, uses processor port PC_RXD_DEV/4.7C and PC_TXD_DEV/4.5D and dedicated uP TCK and TMS.</t>
  </si>
  <si>
    <t>Reset</t>
  </si>
  <si>
    <t>uP has PORST# (power on reset pin), which it passes to fpga</t>
  </si>
  <si>
    <t>Clock</t>
  </si>
  <si>
    <t>uP passes clock to FPGA</t>
  </si>
  <si>
    <t>SPI</t>
  </si>
  <si>
    <t>uP talks with FPGA via 4x SPI pins (clk, din, dout, enable)</t>
  </si>
  <si>
    <t>uP talks w/ fpga via spi</t>
  </si>
  <si>
    <t>uP digital i/o:</t>
  </si>
  <si>
    <t>fpga digital i/o:</t>
  </si>
  <si>
    <t>uP digital i/o &amp; a/d vin</t>
  </si>
  <si>
    <t>Interface Pin Summary</t>
  </si>
  <si>
    <t>Interrupt</t>
  </si>
  <si>
    <t>fpga interrupts uP</t>
  </si>
  <si>
    <t>do we want this connector on our pcb? Do we want to implement in some way?</t>
  </si>
  <si>
    <t>PMbus</t>
  </si>
  <si>
    <t>Isolation Amplifiers Help with Debugging</t>
  </si>
  <si>
    <t>We add 1x AMC1301DWVR with jumpers on input to select one of the following wrt AGND: MuxOut, CurrentMeasure, VoutMeasure, Gnd wrt EarthGnd</t>
  </si>
  <si>
    <t>FPGA</t>
  </si>
  <si>
    <t>http://www.latticesemi.com/en/Products/DesignSoftwareAndIP/IntellectualProperty/ReferenceDesigns/ReferenceDesigns02/SPIGPIOExpander</t>
  </si>
  <si>
    <t>SPI GPIO Expander, RD1073</t>
  </si>
  <si>
    <t>SPI (Serial Peripheral Interface) Peripheral, RD1075</t>
  </si>
  <si>
    <t>http://www.latticesemi.com/en/Products/DesignSoftwareAndIP/IntellectualProperty/ReferenceDesigns/ReferenceDesign03/SPIPeripheral</t>
  </si>
  <si>
    <t>http://www.latticesemi.com/latticediamond#_FD13D8A25CBB47BD83F143E5B55DBC75</t>
  </si>
  <si>
    <t>Design Tools</t>
  </si>
  <si>
    <t>Lattice Diamond Software</t>
  </si>
  <si>
    <t>Pwr On Rst (PORST, uP to fpga)</t>
  </si>
  <si>
    <t>Clock (uP to fpga)</t>
  </si>
  <si>
    <t>Interrupt (fpga to uP)</t>
  </si>
  <si>
    <t>fpga + uP digital i/o:</t>
  </si>
  <si>
    <t>arrow 100+</t>
  </si>
  <si>
    <t>LCMXO256C-3TN100C</t>
  </si>
  <si>
    <t>LUT's</t>
  </si>
  <si>
    <t>I/O</t>
  </si>
  <si>
    <t>ICE40LP384-CM49</t>
  </si>
  <si>
    <t xml:space="preserve">schmidt trigger </t>
  </si>
  <si>
    <t>pull-up</t>
  </si>
  <si>
    <t>pull-down</t>
  </si>
  <si>
    <t>2..16</t>
  </si>
  <si>
    <t>drive stength mA</t>
  </si>
  <si>
    <t>4..24</t>
  </si>
  <si>
    <t>SPI Built-In</t>
  </si>
  <si>
    <t>LCMXO3L-640E-5MG121C</t>
  </si>
  <si>
    <t>CLB</t>
  </si>
  <si>
    <t>https://www.youtube.com/user/latticesemiconductor/search?query=diamond</t>
  </si>
  <si>
    <t>Videos</t>
  </si>
  <si>
    <t>Training</t>
  </si>
  <si>
    <t>Fpga Overhead</t>
  </si>
  <si>
    <t>Spi Expander</t>
  </si>
  <si>
    <t>i/o</t>
  </si>
  <si>
    <t>interface</t>
  </si>
  <si>
    <t>26MHz spi</t>
  </si>
  <si>
    <t>PI4IOE5V6408ZTAEX</t>
  </si>
  <si>
    <t>1MHz i2c</t>
  </si>
  <si>
    <t>IO Expanders:</t>
  </si>
  <si>
    <t>https://www.digikey.com/products/en/integrated-circuits-ics/interface-i-o-expanders/749</t>
  </si>
  <si>
    <t>74VHC595FT</t>
  </si>
  <si>
    <t>55MHz spi</t>
  </si>
  <si>
    <t>8 out</t>
  </si>
  <si>
    <t>8 i/o</t>
  </si>
  <si>
    <t>16 i/o</t>
  </si>
  <si>
    <t>Universal Serial Interface Channel (USIC), AP32303</t>
  </si>
  <si>
    <t>https://www.infineon.com/dgdl/Infineon-USIC-XMC1000_XMC4000-AP32303-AN-v01_00-EN.pdf?fileId=5546d4624e765da5014ed93960ae3391</t>
  </si>
  <si>
    <t>https://www.infineon.com/dgdl/Board_Users_Manual_XMC_2Go_Kit_with_XMC1100_R1.0.pdf?fileId=db3a3043444ee5dc014453d6c75078c6</t>
  </si>
  <si>
    <t>2Go Kit with XMC1100 (simple pcb, xmc4200 usb debugger)</t>
  </si>
  <si>
    <t>dV</t>
  </si>
  <si>
    <t>dT</t>
  </si>
  <si>
    <t>Capacit. pF</t>
  </si>
  <si>
    <t>Show/Hide Curves</t>
  </si>
  <si>
    <t>Open Plotted Curves window (ctl alt t), click show/hide curves under view, used checkboxes, these stay with .tsc file.</t>
  </si>
  <si>
    <t>&gt; this is case sensitive, select wave and click down arrow to edit (also make sure new name is same as old to replace)</t>
  </si>
  <si>
    <t>User Defined Equations</t>
  </si>
  <si>
    <t>&gt; this did not work: integ(Pin(t),0,100u,t)</t>
  </si>
  <si>
    <t>Open Plotted Curves window (ctl alt t), click 'post processor' icon, click 'more', add function (e.g. "v1(t) + v2(t)"), click create, it stays inside .tsc file (requires "remember diagram settings" in analyis/options dlg)</t>
  </si>
  <si>
    <t>Tina Versions</t>
  </si>
  <si>
    <t>https://www.tina.com/version-comparison/</t>
  </si>
  <si>
    <t>Power Disipation &amp; Efficience</t>
  </si>
  <si>
    <t xml:space="preserve">Expand curve in plot window, select it, select Process / Average, look at Average (not rms which calculates average and then deviation from average). </t>
  </si>
  <si>
    <t>Manually do this for PowerIn and PowerOut, for one cycle, and divide two numbers.</t>
  </si>
  <si>
    <t>https://www.digikey.com/product-detail/en/nexperia-usa-inc/PMEG3005EGWJ/1727-7342-2-ND/7390567</t>
  </si>
  <si>
    <t>PMEG3005EGWJ</t>
  </si>
  <si>
    <t>1A: 770mV</t>
  </si>
  <si>
    <t>500mA: 430mV</t>
  </si>
  <si>
    <r>
      <t>30</t>
    </r>
    <r>
      <rPr>
        <sz val="9"/>
        <color rgb="FFFF0000"/>
        <rFont val="Calibri Light"/>
        <family val="2"/>
      </rPr>
      <t>u</t>
    </r>
    <r>
      <rPr>
        <sz val="9"/>
        <color theme="1"/>
        <rFont val="Calibri Light"/>
        <family val="2"/>
      </rPr>
      <t>A @ 10V</t>
    </r>
  </si>
  <si>
    <t>Linear Voltage Regulator</t>
  </si>
  <si>
    <t>Current Limiter (current source)</t>
  </si>
  <si>
    <t>https://www.digikey.com/product-detail/en/diodes-incorporated/AP3429AKTTR-G1/AP3429AKTTR-G1DITR-ND/5359836</t>
  </si>
  <si>
    <t>AP3429AKTTR-G1</t>
  </si>
  <si>
    <t>Tps560430</t>
  </si>
  <si>
    <t>no spice, ti.com TLV62568 $0.16 is similar and has pspice</t>
  </si>
  <si>
    <t>Sense Circuit</t>
  </si>
  <si>
    <r>
      <t>R1 M</t>
    </r>
    <r>
      <rPr>
        <sz val="9"/>
        <color theme="1"/>
        <rFont val="Calibri"/>
        <family val="2"/>
      </rPr>
      <t>Ω</t>
    </r>
  </si>
  <si>
    <r>
      <t>R2 M</t>
    </r>
    <r>
      <rPr>
        <sz val="9"/>
        <color theme="1"/>
        <rFont val="Calibri"/>
        <family val="2"/>
      </rPr>
      <t>Ω</t>
    </r>
  </si>
  <si>
    <t>Zener Off</t>
  </si>
  <si>
    <t>R1 Volts</t>
  </si>
  <si>
    <t>R2 Volts</t>
  </si>
  <si>
    <t>Total uA</t>
  </si>
  <si>
    <t>AP65111AWU-7</t>
  </si>
  <si>
    <t>https://www.digikey.com/product-detail/en/monolithic-power-systems-inc/MP2459GJ-Z/1589-1895-2-ND/9555319</t>
  </si>
  <si>
    <t>MP2459GJ</t>
  </si>
  <si>
    <t>Simulation Files</t>
  </si>
  <si>
    <t>See below design that shows this concept w/ $0.55 of parts (110/220VAC to 3.3V/4mA).</t>
  </si>
  <si>
    <t>PMP11287</t>
  </si>
  <si>
    <t>UCC2813D, $1.18</t>
  </si>
  <si>
    <t>http://www.ti.com/reference-designs/index.html#search?vinmin=-72,35.37&amp;vinmax=91.32,405.13&amp;intype=AC,DC&amp;outpow=0,0.73</t>
  </si>
  <si>
    <t>https://dspace.mit.edu/bitstream/handle/1721.1/120371/1084270179-MIT.pdf?sequence=1&amp;isAllowed=y</t>
  </si>
  <si>
    <t>Miniaturization of Ac-Dc Power Converters for Grid Interface, MIT Masters Thesis, Juan Antonio Santiago-González</t>
  </si>
  <si>
    <t xml:space="preserve"> * Simulation that shows Lm5163 Buck converter with 400Hz 25..55V triangle wave input (it does ok w/ this changing load):</t>
  </si>
  <si>
    <t>Tiny Power Supply Reference Designs</t>
  </si>
  <si>
    <t>Tiny DC-to-DC Reference Designs</t>
  </si>
  <si>
    <t>Search this file for "Tiny DC-to-DC Reference Designs"</t>
  </si>
  <si>
    <t>Example Designs</t>
  </si>
  <si>
    <r>
      <t xml:space="preserve">Design Considerations For FLEX POWER: (85..265VAC </t>
    </r>
    <r>
      <rPr>
        <b/>
        <i/>
        <sz val="11"/>
        <color rgb="FFFF0000"/>
        <rFont val="Calibri"/>
        <family val="2"/>
        <scheme val="minor"/>
      </rPr>
      <t>or</t>
    </r>
    <r>
      <rPr>
        <b/>
        <sz val="11"/>
        <color theme="9"/>
        <rFont val="Calibri"/>
        <family val="2"/>
        <scheme val="minor"/>
      </rPr>
      <t xml:space="preserve"> 18..56VDC)   </t>
    </r>
    <r>
      <rPr>
        <b/>
        <i/>
        <sz val="11"/>
        <color rgb="FFFF0000"/>
        <rFont val="Calibri"/>
        <family val="2"/>
        <scheme val="minor"/>
      </rPr>
      <t>TO</t>
    </r>
    <r>
      <rPr>
        <b/>
        <sz val="11"/>
        <color theme="9"/>
        <rFont val="Calibri"/>
        <family val="2"/>
        <scheme val="minor"/>
      </rPr>
      <t xml:space="preserve">  5V Converter, 1W</t>
    </r>
  </si>
  <si>
    <t>Search this file for: "Solar Roof" / "Tiny Power Supply Reference Designs"</t>
  </si>
  <si>
    <r>
      <t xml:space="preserve">10.8VDC to 264VDC  </t>
    </r>
    <r>
      <rPr>
        <i/>
        <sz val="11"/>
        <color rgb="FFFF0000"/>
        <rFont val="Calibri"/>
        <family val="2"/>
        <scheme val="minor"/>
      </rPr>
      <t xml:space="preserve">or </t>
    </r>
    <r>
      <rPr>
        <sz val="11"/>
        <color theme="1"/>
        <rFont val="Calibri"/>
        <family val="2"/>
        <scheme val="minor"/>
      </rPr>
      <t xml:space="preserve"> 15VAC to 264VAC input, 12V/55mA output.</t>
    </r>
  </si>
  <si>
    <t>More Ideas</t>
  </si>
  <si>
    <t>Search this file for: "WallBus" / "Design Considerations For FLEX POWER"</t>
  </si>
  <si>
    <t>PMP20708</t>
  </si>
  <si>
    <t>UCC28881, $0.52</t>
  </si>
  <si>
    <t>24V to 265V input (AC or DC), 24V/30mA and 5V/30mA output, isolated, not regulated</t>
  </si>
  <si>
    <t>Existing Reference Designs</t>
  </si>
  <si>
    <t xml:space="preserve"> * Search this file for "THEORY OF OPERATION: 110VAC to 5V.."</t>
  </si>
  <si>
    <t xml:space="preserve"> * Search this file for "Design Considerations For FLEX POWER: (85..265VAC or 18..56VDC)…"</t>
  </si>
  <si>
    <t xml:space="preserve"> * Search this file for: "DESIGN: Tiny Power Supply -- Output: 3.3V/16mA,  Input: 85 to 265VAC or 16..54VDC.."</t>
  </si>
  <si>
    <t xml:space="preserve"> * Example Design using Viper011 IC:</t>
  </si>
  <si>
    <t xml:space="preserve"> * Search this file for: "THEORY OF OPERATION: 110VAC to 5V.."</t>
  </si>
  <si>
    <t xml:space="preserve"> * Search this file for: "Design Considerations For FLEX POWER.."</t>
  </si>
  <si>
    <t xml:space="preserve">We simulated a circuit that passes the input voltage if it is &lt; ~55Volts (file "85..265VAC_or_16..54VDC_to_3.3V_16mA..TSC"). </t>
  </si>
  <si>
    <t>This buck converter cost $0.76 in parts (based on #Mp2459, file "Mp2459_55V_to_3.3V_30mA_Design, NOTES.docx")</t>
  </si>
  <si>
    <t xml:space="preserve"> * Ti has reference designs that have isolated, non-regulated outputs that are small. They might cost $2 when you add in a voltage regulator.</t>
  </si>
  <si>
    <t xml:space="preserve">   &gt; Search this file for "PMP" for details.</t>
  </si>
  <si>
    <r>
      <t xml:space="preserve">   &gt; Ti.com #PMP20708 is a 24V to 265V input (AC </t>
    </r>
    <r>
      <rPr>
        <sz val="11"/>
        <color rgb="FFFF0000"/>
        <rFont val="Calibri"/>
        <family val="2"/>
        <scheme val="minor"/>
      </rPr>
      <t>or</t>
    </r>
    <r>
      <rPr>
        <sz val="11"/>
        <rFont val="Calibri"/>
        <family val="2"/>
        <scheme val="minor"/>
      </rPr>
      <t xml:space="preserve"> DC), 24V/30mA and 5V/30mA output, isolated, not regulated design that uses $0.52 UCC28881 ic. </t>
    </r>
  </si>
  <si>
    <t>R1+R2</t>
  </si>
  <si>
    <t>Two voltage dividers sense high voltages, one is limited with a zener</t>
  </si>
  <si>
    <r>
      <t>DESIGN: Tiny Power Supply -- Output: 3.3V/16mA,  Input: 85 to 265VAC</t>
    </r>
    <r>
      <rPr>
        <b/>
        <sz val="11"/>
        <color rgb="FFFF0000"/>
        <rFont val="Calibri"/>
        <family val="2"/>
        <scheme val="minor"/>
      </rPr>
      <t xml:space="preserve"> or </t>
    </r>
    <r>
      <rPr>
        <b/>
        <sz val="11"/>
        <color theme="9"/>
        <rFont val="Calibri"/>
        <family val="2"/>
        <scheme val="minor"/>
      </rPr>
      <t>16..54VDC, Mosfets sense |Pwr| &lt; 50V, 70% efficiency, $1.50 parts</t>
    </r>
  </si>
  <si>
    <t>Comments</t>
  </si>
  <si>
    <t>Next Steps</t>
  </si>
  <si>
    <t xml:space="preserve"> * Evaluate circuit voltages and currents on a spreadsheet</t>
  </si>
  <si>
    <t xml:space="preserve"> * Select optimum values for components</t>
  </si>
  <si>
    <t xml:space="preserve"> * Evaluate longevity of components -- how much stress do we put on parts to move our current 10% of the time and 10x higher that average?</t>
  </si>
  <si>
    <t xml:space="preserve"> * 99% of the time, a processor might be sleeping and draw 0.25 to 4mA. 1% of the time it might draw 1 to 16mA. Efficiency is not too important w/ low numbers.</t>
  </si>
  <si>
    <t>This rough design was done quickly and can be used as a starting point for a better considered design. Suggested next steps:</t>
  </si>
  <si>
    <t>When pwr changes (e.g. 200V in 2mSec), it will induce a current through those capacitors (e.g. 2uA), as noted below.</t>
  </si>
  <si>
    <t>220VAC 60Hz dV/dT causes 2uA to pass through parts (e.g. Npn C to B)</t>
  </si>
  <si>
    <t xml:space="preserve"> * Select components (current components were selected quickly)</t>
  </si>
  <si>
    <t>Output:</t>
  </si>
  <si>
    <t>Output: 3.3V/16mA</t>
  </si>
  <si>
    <t xml:space="preserve"> * Build prototype</t>
  </si>
  <si>
    <t>and the "pass voltage if &lt; 55V" circuit cost another $0.75, then total cost is $1.50.</t>
  </si>
  <si>
    <t xml:space="preserve"> * Use simulator to make sure circuit works ok at different temperatures. Also, use spreadsheet to look at effect of maxium leakage currents.</t>
  </si>
  <si>
    <t xml:space="preserve"> * Can you design a lower cost and/or more efficent converter with same requirements (i.e. Output: 3.3V/16mA,  Input: 85 to 265VAC or 16..54VDC)</t>
  </si>
  <si>
    <t xml:space="preserve"> * Determine maximum voltage across each component and decide requirements (e.g. 100V, 200V, 500V ratings)</t>
  </si>
  <si>
    <t>&gt; 70% to 85% efficiency, $1 to 1.50 parts cost, only use ceramic capacitors (no electrolytics), not too much stress on parts, -40C to 85C.</t>
  </si>
  <si>
    <t xml:space="preserve"> * ESR changes in capacitors at different temperatures. Make sure design works ok -40C to 85C.</t>
  </si>
  <si>
    <t xml:space="preserve"> * Use simulator to measure efficiencies with different conditions (e.g. different AC and DC input voltages).</t>
  </si>
  <si>
    <t>Working With TINA Simulator</t>
  </si>
  <si>
    <r>
      <t xml:space="preserve">&gt; To see power </t>
    </r>
    <r>
      <rPr>
        <i/>
        <sz val="11"/>
        <color theme="1"/>
        <rFont val="Calibri"/>
        <family val="2"/>
        <scheme val="minor"/>
      </rPr>
      <t>averaged</t>
    </r>
    <r>
      <rPr>
        <sz val="11"/>
        <color theme="1"/>
        <rFont val="Calibri"/>
        <family val="2"/>
        <scheme val="minor"/>
      </rPr>
      <t xml:space="preserve"> over 1 cycle, select 1 cycle of a waveform and select "analysis / averages" in plot window.</t>
    </r>
  </si>
  <si>
    <t>&gt; Put DC volts into circuit and select "analysis / DC / nodal voltages" to see DC voltages, currents and power. This is helpful when looking at DC voltage inputs.</t>
  </si>
  <si>
    <t>&gt; Set load by adjusting the "R_load" resistor. If you have 80% 3.3V/16mA buck converter attached to this then load would be 65mW (3.3*0.016/0.80).</t>
  </si>
  <si>
    <t xml:space="preserve"> &gt; Put DC volts into circuit and select "analysis / DC Analyis / calculate nodal voltages" to see DC voltages, currents and power.</t>
  </si>
  <si>
    <t xml:space="preserve">    and make sure your parts are rated for those voltages. Also, one can look at Power and see where power is being wasted.</t>
  </si>
  <si>
    <t>Detect Parts</t>
  </si>
  <si>
    <t>Load (Ω)</t>
  </si>
  <si>
    <t>Watts_Input mV</t>
  </si>
  <si>
    <t>Buck Efficiency</t>
  </si>
  <si>
    <t>Total Efficiency</t>
  </si>
  <si>
    <t>Power and Efficiency Measurements</t>
  </si>
  <si>
    <t>Input Ac or DC</t>
  </si>
  <si>
    <t>DC</t>
  </si>
  <si>
    <t>Input Voltage</t>
  </si>
  <si>
    <t xml:space="preserve">This can then be fed into a buck converter that converts 15..54VDC to regulated 3.3V with 80% to 90% efficiency. </t>
  </si>
  <si>
    <t xml:space="preserve"> * Simulation that shows Input: 85 to 265VAC or 16..54VDC converting to 3.3V/16mA with ~1% of parts:</t>
  </si>
  <si>
    <t xml:space="preserve"> * DC-to-DC Converter, 15V to 55V Input, 3.3V/30mA output, $0.76 total parts, #Mp2459, Designed w/ Online Software:</t>
  </si>
  <si>
    <t xml:space="preserve"> * One could look at charging caps with a mosfet instead of NPN (PullHi_1). However, low cost &gt;= 400V mosfet typically have 4 ohms Ron and would see more loss (e.g. 700mA * 4 ohms = 2.8V drop instead of 1V drop).</t>
  </si>
  <si>
    <t xml:space="preserve">    &gt; After you do your tweek, then input 16VDC into system and do Nodal Analysis and make sure UnregulatedVoltage is ~14.5V. Do the same for 54VDC input.</t>
  </si>
  <si>
    <r>
      <t xml:space="preserve">    &gt; BZX84C</t>
    </r>
    <r>
      <rPr>
        <i/>
        <sz val="11"/>
        <color theme="1"/>
        <rFont val="Calibri"/>
        <family val="2"/>
        <scheme val="minor"/>
      </rPr>
      <t>xx</t>
    </r>
    <r>
      <rPr>
        <sz val="11"/>
        <color theme="1"/>
        <rFont val="Calibri"/>
        <family val="2"/>
        <scheme val="minor"/>
      </rPr>
      <t xml:space="preserve"> zener diodes turns on at xx volts (e.g. BZX84C30 at 30V, BZX84C19 at 19V)</t>
    </r>
  </si>
  <si>
    <t>This puts stress on the components. If we increase R_charging then we burn power at this resistor. If we insert a current limiter we burn power</t>
  </si>
  <si>
    <t>All nodes that connect to AC pwr will have some capacitance between this changing voltage and adjacent pins (e.g. 20pF across transistor, fet or diode).</t>
  </si>
  <si>
    <t>PSFX</t>
  </si>
  <si>
    <t xml:space="preserve">   85 to 265 VAC, 16 to 56 VDC</t>
  </si>
  <si>
    <t>Transistor only passes powerline voltage when it is &lt; X volts</t>
  </si>
  <si>
    <t>We look at several different designs:</t>
  </si>
  <si>
    <t>Drooping Cap</t>
  </si>
  <si>
    <t>droop Volts</t>
  </si>
  <si>
    <t>Avg Volts Across Caps</t>
  </si>
  <si>
    <t>Load voltage</t>
  </si>
  <si>
    <t>Load Current mA</t>
  </si>
  <si>
    <t>Load Power mW</t>
  </si>
  <si>
    <t>Buck Input Power mW</t>
  </si>
  <si>
    <t>Buck Input Current mA</t>
  </si>
  <si>
    <t>Capacitor uF</t>
  </si>
  <si>
    <t>mS Charge Interval</t>
  </si>
  <si>
    <t xml:space="preserve">dV = i * dt/C </t>
  </si>
  <si>
    <t>mW Into Buck Conv</t>
  </si>
  <si>
    <t>Final Load Pwr mW</t>
  </si>
  <si>
    <t>(measure w simulator)</t>
  </si>
  <si>
    <r>
      <t xml:space="preserve">Input: 85 to 265VAC </t>
    </r>
    <r>
      <rPr>
        <sz val="11"/>
        <color rgb="FFFF0000"/>
        <rFont val="Calibri"/>
        <family val="2"/>
        <scheme val="minor"/>
      </rPr>
      <t>or</t>
    </r>
    <r>
      <rPr>
        <sz val="11"/>
        <color theme="1"/>
        <rFont val="Calibri"/>
        <family val="2"/>
        <scheme val="minor"/>
      </rPr>
      <t xml:space="preserve"> 16..54VDC </t>
    </r>
  </si>
  <si>
    <t>85..265VAC_or_16..54VDC_to_3.3V_16mA, v22a.TSC and .pdf</t>
  </si>
  <si>
    <t>Mp2459_55V_to_3.3V_30mA_Design_NOTES.docx</t>
  </si>
  <si>
    <t>24..84Vin-to-14Vout_Lm5163_With_Triangle_Input.TSC</t>
  </si>
  <si>
    <t xml:space="preserve"> * Download:</t>
  </si>
  <si>
    <t xml:space="preserve"> * Our initial design supports 16VDC as the lowest DC input voltage. Is this a good choice? If one changes this to 9V, then the system would </t>
  </si>
  <si>
    <t xml:space="preserve">support 12VDC power supplies and 12VDC batteries. If one changes this to &lt; 14V then it would support DALI 16VDC power. The Mp2459 can handle </t>
  </si>
  <si>
    <r>
      <t xml:space="preserve"> &gt; Heat into a cap is ESR x current. The Kemit ESR calculator (http://ksim.kemet.com/Plots/SpicePlots.aspx) shows the 0.5uF/100V #C1210F474K1RAC cap as having 1.2</t>
    </r>
    <r>
      <rPr>
        <sz val="11"/>
        <color theme="1"/>
        <rFont val="Calibri"/>
        <family val="2"/>
      </rPr>
      <t>Ω ESR at 3KHz (300uS period).</t>
    </r>
  </si>
  <si>
    <t xml:space="preserve"> &gt; What are the advantages and disadvantages of each approach? What is the best capitive loading at this position? When are we stressing capacitors too much?</t>
  </si>
  <si>
    <t xml:space="preserve"> &gt; With DCV input the voltage across capacitor changes little; whereas with AC input, we have droop. What is a good droop amount? What are the advanages and disadvantages of high vs low droop voltage?</t>
  </si>
  <si>
    <t>Ma2_IOT_Development_Plan.pdf</t>
  </si>
  <si>
    <t xml:space="preserve"> * For a discussion on flex power, search for "3.12.1 SUGGESTED PROJECT: Develop $1.50 Power Supply" in pdf file.</t>
  </si>
  <si>
    <t>lost electricity cost, $/yr</t>
  </si>
  <si>
    <t>lost electricity, $ in 30yrs</t>
  </si>
  <si>
    <t>% of time drawing current</t>
  </si>
  <si>
    <t>AVG current (mA)</t>
  </si>
  <si>
    <t>AVG vDrop (volts)</t>
  </si>
  <si>
    <t>AVG power (mW)</t>
  </si>
  <si>
    <t>Protection Resistor</t>
  </si>
  <si>
    <t>RC Filter</t>
  </si>
  <si>
    <t>Cap (pF)</t>
  </si>
  <si>
    <r>
      <t>Res (M</t>
    </r>
    <r>
      <rPr>
        <sz val="9"/>
        <color theme="1"/>
        <rFont val="Calibri"/>
        <family val="2"/>
      </rPr>
      <t>Ω)</t>
    </r>
  </si>
  <si>
    <t>6 ohms</t>
  </si>
  <si>
    <t>6.3 mΩ</t>
  </si>
  <si>
    <t>4.1 mΩ</t>
  </si>
  <si>
    <t>3.7 mΩ</t>
  </si>
  <si>
    <t>3.8 mΩ</t>
  </si>
  <si>
    <t>4.0 mΩ</t>
  </si>
  <si>
    <t>4 ohms</t>
  </si>
  <si>
    <t>72 mΩ</t>
  </si>
  <si>
    <t>99 mΩ</t>
  </si>
  <si>
    <t>12 mΩ</t>
  </si>
  <si>
    <t>8 mΩ</t>
  </si>
  <si>
    <t>7 mΩ</t>
  </si>
  <si>
    <t>R1a=6M, R1b=33M, R2a=10M, R2b=1M, D_Za1 = 30V, D_Za2 = 6.2V</t>
  </si>
  <si>
    <t>mW Protection</t>
  </si>
  <si>
    <t>mW Bridge Rectifier</t>
  </si>
  <si>
    <t>mW Bias PullUp</t>
  </si>
  <si>
    <t>mW NPN</t>
  </si>
  <si>
    <t>(calculated)</t>
  </si>
  <si>
    <t>AC</t>
  </si>
  <si>
    <t>220, 50Hz</t>
  </si>
  <si>
    <t>120, 60Hz</t>
  </si>
  <si>
    <t>This is a design of a $1.50 ($1.75 w/ 4KV spike protection) dc-to-dc converter that inputs Flex Power (85 to 265VAC or 16..54VDC) and outputs regulated non-isolated 3.3V/16mA.</t>
  </si>
  <si>
    <t xml:space="preserve"> * If processor is a DALI interface, for example, it can sleep inbetween receiving each bit (every 1mSec).</t>
  </si>
  <si>
    <t xml:space="preserve"> * One can adjust when the fets/transistors turn on with AC input by adjusting D_Za2 (i.e. zener turn on voltage) and the ratio of R1a to R2a</t>
  </si>
  <si>
    <t xml:space="preserve">    &gt; R1a=6M, R1b=33M, R2a=10M, R2b=1M, D_Za1 = 30V, D_Za2 = 6.2V support 16V to 54V dc input voltages and 85VAC to 240VAC AC voltages (50 or 60Hz)</t>
  </si>
  <si>
    <t xml:space="preserve"> * If you input 400VDC and then do DC Analysis / Nodal Voltages you can see all voltages in the schematic (all fets/transistors should be off here)</t>
  </si>
  <si>
    <t xml:space="preserve">   &gt; R1a/R1b/R2a/R2b all burn power with high input voltage. If you increase these then leakage currents and small current that pass through 5 to 20pF capacitance become more of an issue.</t>
  </si>
  <si>
    <t xml:space="preserve">   &gt; 200V changing in 2mSec induces 2uA across 20pF. Mosfets, transistors, and diodes all have 2 to 25pF of capacitance. 2uA x 5M = 10Volts. This is a big issue.</t>
  </si>
  <si>
    <t xml:space="preserve"> * The Mp2459 buck converter, for example, wants &lt; 55V. Make sure unregulated output voltage stays below this value at all times.</t>
  </si>
  <si>
    <t xml:space="preserve">   &gt; simulate 0 to 300mSec for each of the following inputs and make sure Buck IC is not overvoltaged: 16VDC, 54VDC, 240VAC/60Hz, 85VAC/50Hz</t>
  </si>
  <si>
    <t xml:space="preserve"> * The entire design and important parameters need better modeling on a spreadsheet to help one make decisions.</t>
  </si>
  <si>
    <t>Unregulated Voltage</t>
  </si>
  <si>
    <t>37..45</t>
  </si>
  <si>
    <t>Charge Time uSec</t>
  </si>
  <si>
    <t>Charge mA Current</t>
  </si>
  <si>
    <t>31..51</t>
  </si>
  <si>
    <t>continuous</t>
  </si>
  <si>
    <t xml:space="preserve"> * The current design charges up the capactors in about 100uSec every 10mSec with ~90mA of current (45mA per 0.47uF Cap) with 220VAC input. This means we </t>
  </si>
  <si>
    <t>charge the caps 1% of the time (0.1/10). The final load current is 0.9mA (before buck converter) and are moving all this load 1% of the time (e.g. 0.9mA = 90mA*1%).</t>
  </si>
  <si>
    <t xml:space="preserve">across it. What to do? </t>
  </si>
  <si>
    <t xml:space="preserve"> * The current design charges 2 capacitors (0.47uF x 2 = 1uF and $0.08 total) and then it droops from ~40V to ~20V. Working with higher voltages</t>
  </si>
  <si>
    <t>means one works w/ less current (e.g. 10V@16mA is same power as 40V@4mA). If one goes to smaller capacitors or higher average voltages then they can reduce current into caps.</t>
  </si>
  <si>
    <t xml:space="preserve"> &gt; 0.045^2*1.2 = 2mW, which is not too much. Yet are we modeling this correctly?</t>
  </si>
  <si>
    <t xml:space="preserve"> &gt; We are currently burning, no pun intended, $0.08 on our two 0.47uF/100V caps ($0.04 each). The cost-per-uF is good w/ this cap relative to 0.33uF and .22uF.</t>
  </si>
  <si>
    <t>7 VDC input with and 5V output, so perhaps 7 to 8V would be a more useful lowest DC input voltage? The current design barely supports 16V. Going lower requires rethink of detect circuit.</t>
  </si>
  <si>
    <t xml:space="preserve"> * Make sure you are protected from 1KV 20uSec spikes (common on power wires). For details, search this file for "Varistor".</t>
  </si>
  <si>
    <t xml:space="preserve"> &gt; To see power over 1 AC cycle, select 1 cycle of a waveform (e.g. run transient analyis 80m to 100m w/ 50Hz power and 100m to 116.6m w/ 60Hz power) and select "analysis / averages" in plot window.</t>
  </si>
  <si>
    <t>&gt; Use switches to determine if your input is AC or DC volts. Set "DCV" voltage source to any voltage between 16V and 54V.</t>
  </si>
  <si>
    <t>&gt; 80m to 100m transient simulation (ctrl alt t) shows 1x sine cycle given 50Hz power (or 100m to 116.6m w/ 60Hz power)</t>
  </si>
  <si>
    <t>&gt; 88m to 92m transient simulation (ctrl alt t) shows low sine voltage (w/ 50Hz power), which is where fets and transistors are turning on, which is most interesting.</t>
  </si>
  <si>
    <t>Zener D_Za2 V</t>
  </si>
  <si>
    <t>Threshold (V)</t>
  </si>
  <si>
    <t xml:space="preserve"> * The current design is very sensitive to leakage currents and small capacitance across components pins, as noted previously. Can you redesign this to be more resilient to small pF and uA within components? </t>
  </si>
  <si>
    <t xml:space="preserve"> * If temperature increases, leakage currents increase as well. Make sure your circuit works at higher temperatures.</t>
  </si>
  <si>
    <t xml:space="preserve">     &gt; perhaps one can adapt the sense circuit to work with lower voltages by first reducing the input voltage 10:1 (which reduces dV/dt by 10x as well) w/ voltage divider and mosfet buffer?</t>
  </si>
  <si>
    <t>https://www.electronics-notes.com/articles/analogue_circuits/fet-field-effect-transistor/common-drain-source-follower-circuit.php</t>
  </si>
  <si>
    <t>This shows how you can get lower voltages:</t>
  </si>
  <si>
    <t>After this buffering, you can then work with lower resistors (less susceptical to dv/dt and leakage currents), and you can work with components rated for less voltage.</t>
  </si>
  <si>
    <t xml:space="preserve"> * Our initial design supports 240VAC yet not 265VAC, probably because of higher dV/dT currents that couple through resistors via component capacitance.</t>
  </si>
  <si>
    <t xml:space="preserve"> * Our simulations have 85..240VAC sinewaves that start at 0V. What happens if they start at Vpeak? Do we overvoltage the buck converter input? This needs to be looked at.</t>
  </si>
  <si>
    <t xml:space="preserve"> * The circuit connects pre-buck converter capacitors to Pwr_In when Pwr_In is &lt; X volts. X is a threshold that is different for AC input and for DC input.</t>
  </si>
  <si>
    <t xml:space="preserve">     We have two thresolds since we want to pass 54V when we input DC and (X must be &gt; 54V when inputting DC) and we need an AC threshold lower</t>
  </si>
  <si>
    <t xml:space="preserve">     than 54V since we need to start turning off the master NPN switch before AC Pwr_In reaches 54V. Subsequently, we have a circuit that detects</t>
  </si>
  <si>
    <t xml:space="preserve">     AC and then drops the threshold when it sees it. </t>
  </si>
  <si>
    <t xml:space="preserve">    &gt; Can you change the threshold with a circuit that is simplier to what we have? if so, that would be helpful.</t>
  </si>
  <si>
    <t>Can you do this without a power supply for support? Or can you use your unregulated voltage output to help power your detect circuit? Or your regulated power supply Output?</t>
  </si>
  <si>
    <t xml:space="preserve">    Please see the below files for a design that is 70% finished that heads in this direction. It is costly $.20 more than our initial design. Can this cost be reduced? It does not yet have</t>
  </si>
  <si>
    <t xml:space="preserve">    an AC Detection system that lowers the threshold voltage for AC input (as done w/ our initial design). It might be less prone to leakage currents and component capacitances, perhaps?</t>
  </si>
  <si>
    <t xml:space="preserve"> * If you have a voltage divider drive a low voltage comparator ic, which drives a mosfet which drives your NPN, then that might work, yet you need to power this w/ high voltage 1st while starting up.</t>
  </si>
  <si>
    <t xml:space="preserve"> * This circuit is not isolated and uses a bridge rectifier. This means that RegulatedOutput- (microprocessor GND pin) will be at -310V</t>
  </si>
  <si>
    <t xml:space="preserve">    when 220VAC is applied and at the lowest point of it's cycle. This also means one could get a shock if they touch the PCB GND plane with AC applied.</t>
  </si>
  <si>
    <t xml:space="preserve">    And it means you cannot connect this to a RS-48x or CANbus without an isolated transciever. If this is a problem, then consider an isolated power supply.</t>
  </si>
  <si>
    <t xml:space="preserve"> * The current design is non-isolated. What would it cost to make a version that is isolated? For ideas, see the "See Also" discussion below.</t>
  </si>
  <si>
    <t>The #FODM124R2 is $0.18 and has a 100% current transfer ratio (put in 1mA and get out 1mA), for example.</t>
  </si>
  <si>
    <t>If you have a transformer that has multiple primary windings (e.g. 5 and 15) that can be combined differently, then you could detect lower voltage</t>
  </si>
  <si>
    <t>Can you adapt #PMP20708 to be regulated? Notice it has an opto-coupler in schematic ("DNP" means do not place yet we have position on pcb). Install this and get regulated.</t>
  </si>
  <si>
    <t>and short out one set of windings with a mosfet, to change the ratio of the primary to the secondary. This would help one support both lower and higher voltages. Is this worth the cost?</t>
  </si>
  <si>
    <t>What is the efficiency of this PCB at 1mA output? 16mA?</t>
  </si>
  <si>
    <t>Well Drilling Rig</t>
  </si>
  <si>
    <t>Window Products</t>
  </si>
  <si>
    <t>Home Depot</t>
  </si>
  <si>
    <t>windows</t>
  </si>
  <si>
    <t>double hung windows</t>
  </si>
  <si>
    <t>Window Thermal Cover Analysis</t>
  </si>
  <si>
    <t>ZigBee Cluster Library User Guide, 800 pages</t>
  </si>
  <si>
    <t>https://www.nxp.com/docs/en/user-guide/JN-UG-3077.pdf</t>
  </si>
  <si>
    <t>https://knxforleed.com/en/solutions/64-knx-for-leed-solutions/blind-shutter-system/63-knx-solutions-blind-shutter-control.html</t>
  </si>
  <si>
    <t>Blind Control Products</t>
  </si>
  <si>
    <t>See KNX books on gsw kindle (e.g. Advanced and Basic)</t>
  </si>
  <si>
    <t>https://www.ivoryegg.co.uk/product_guides/shading-control-with-knx</t>
  </si>
  <si>
    <t>Shading Control with KNX, good article</t>
  </si>
  <si>
    <t>https://beg-russia.ru/upload/iblock/350/Application%20description%20KNX%20blind%20actuators.pdf</t>
  </si>
  <si>
    <t>Device Models For Active Physical Window (e.g. veniatn blind control connected to network)</t>
  </si>
  <si>
    <t>https://new.abb.com/low-voltage/products/building-automation/product-range/abb-i-bus-knx/products/shading-control</t>
  </si>
  <si>
    <t>https://search-ext.abb.com/library/Download.aspx?DocumentID=2CDC506040D0201&amp;LanguageCode=en&amp;DocumentPartId=&amp;Action=Launch</t>
  </si>
  <si>
    <t>Brochure</t>
  </si>
  <si>
    <t>Blind/Shutter Controllers (manual or digital control), ABB</t>
  </si>
  <si>
    <t>Blind KNX Controllers, B.E.G. Corporation</t>
  </si>
  <si>
    <t>ABB</t>
  </si>
  <si>
    <t>For more information see "Ma2_IOT_Development_Plan…pdf" / "KNX"</t>
  </si>
  <si>
    <t>For more information see "Ma2_IOT_Development_Plan…pdf" / "ZigBee"</t>
  </si>
  <si>
    <t>Blind Control (simple "move up"/"move down" commands)</t>
  </si>
  <si>
    <t>LonWorks</t>
  </si>
  <si>
    <t>http://standard-motor-interface.com/wp-content/uploads/Download/060608SMI-Conductor-assignment-diagram_Rev1-3-E.pdf</t>
  </si>
  <si>
    <t>http://standard-motor-interface.com/deciding/technology/?lang=en</t>
  </si>
  <si>
    <t>Standard electrical system for driving motors</t>
  </si>
  <si>
    <t>For more information see "Ma2_IOT_Development_Plan…pdf" / "Lonworks"</t>
  </si>
  <si>
    <t>http://mft.becker-antriebe.com:5600/folder/smi%20en.pdf</t>
  </si>
  <si>
    <t>Example SMI products</t>
  </si>
  <si>
    <t>Standard Motor Interface (SMI)</t>
  </si>
  <si>
    <t>https://www.lonmark.org/fps/</t>
  </si>
  <si>
    <t>SFPTactuateSunshade,  SFPTsunblindActuator, SFPTsunblindController, SFPTco2Sensor, SFPTisiSunblindActuator</t>
  </si>
  <si>
    <t>DALI</t>
  </si>
  <si>
    <t>https://zencontrol.com/blind-control/</t>
  </si>
  <si>
    <t>https://www.digitalilluminationinterface.org/dali/standards.html</t>
  </si>
  <si>
    <t>List of Device Models (e.g. Light, occupancy sensor)</t>
  </si>
  <si>
    <t xml:space="preserve"> &gt; I don't see Blind/Curtain/Window device models, yet they do have "temperature measurement" and "level control" (search above PDF)</t>
  </si>
  <si>
    <t>https://en.wikipedia.org/wiki/BACnet#BACnet_objects</t>
  </si>
  <si>
    <t>http://www.bacnet.org/Bibliography/ES-7-96/ES-7-96.htm</t>
  </si>
  <si>
    <t>https://www.loytec.com/products/dali/l-dali-bacnet?showall=1&amp;start=0</t>
  </si>
  <si>
    <t>Provides "Multi-state Output" yet no support for blind, window</t>
  </si>
  <si>
    <t>Summary of objects</t>
  </si>
  <si>
    <t>Existing Physical Window DALI Products</t>
  </si>
  <si>
    <t xml:space="preserve"> &gt; Has general "control gear" category yet no support for windows, blinds, etc.</t>
  </si>
  <si>
    <t xml:space="preserve"> &gt; Blind Controller w/ DALI Interface, Zen Control</t>
  </si>
  <si>
    <t xml:space="preserve"> &gt; Blind Controller w/ DALI Interface, Loytec</t>
  </si>
  <si>
    <t>For more information see "Ma2_IOT_Development_Plan…pdf" / "DALI"</t>
  </si>
  <si>
    <t>For more information see "Ma2_IOT_Development_Plan…pdf" / "BACnet"</t>
  </si>
  <si>
    <t xml:space="preserve">Book: BACnet: The Global Standard for Building Automation, 400 page book, on gsw kindle </t>
  </si>
  <si>
    <t>Window Bus</t>
  </si>
  <si>
    <t>See Also: "Wallbus" / "RS-486P (Proposed)"</t>
  </si>
  <si>
    <t>Aero energy project, SPECIFY HIGHLY INSULATED WINDOWS &amp; DOORS</t>
  </si>
  <si>
    <t>Power Wire Voltage Drop</t>
  </si>
  <si>
    <t>total pF</t>
  </si>
  <si>
    <r>
      <t xml:space="preserve">pull down resistor </t>
    </r>
    <r>
      <rPr>
        <sz val="9"/>
        <color theme="1"/>
        <rFont val="Calibri"/>
        <family val="2"/>
      </rPr>
      <t>Ω</t>
    </r>
  </si>
  <si>
    <t>CANbus Voltage Drop</t>
  </si>
  <si>
    <t>µSec rise TC</t>
  </si>
  <si>
    <t>$/uF</t>
  </si>
  <si>
    <t>XRA1403IG24TR-F</t>
  </si>
  <si>
    <t>https://www.infineon.com/cms/en/product/evaluation-boards/kit_xmc_plt2go_xmc4200/</t>
  </si>
  <si>
    <t>http://www.latticesemi.com/Products/DevelopmentBoardsAndKits.aspx?&amp;sk=Default&amp;s=%7e_d0!2!1!!1!7!0!1!!2!!!0!1!3!2!_d2!9!sbf!_d6!fil!DrtrxrtrzqEqypvspFpHpqGqypxpApwpqBqypxpvspwpxpCpvspwpwpqqrzqqqrur!MachXO3+Boards!MachXO3!_d0!4!%40sitecoreorder!fvf%7c%40productitemnames!_d8!_d1!!yqbqtGpHpxpvppupvpupwpupxppwpppupvpKpLpIpJpFpBpCpzpApEppDpqyprpqsq!&amp;sg=1730e3a5-0ead-4eb9-89a6-f49837cf55fa</t>
  </si>
  <si>
    <t>MachXO3 Breakout PCB's</t>
  </si>
  <si>
    <t>https://www.digikey.com/product-detail/en/lattice-semiconductor-corporation/LCMXO3LF-6900C-S-EVN/220-2069-ND/5395903</t>
  </si>
  <si>
    <t>Microprocessor Xmc4200 Reference Design</t>
  </si>
  <si>
    <t>https://www.digikey.com/product-detail/en/lattice-semiconductor-corporation/LCMXO3L-6900C-S-EVN/220-1935-ND/5039065</t>
  </si>
  <si>
    <t>https://www.digikey.com/product-detail/en/lattice-semiconductor-corporation/LCMXO3LF-9400C-ASC-B-EVN/220-2152-ND/7784607</t>
  </si>
  <si>
    <t>https://www.ikea.com/us/en/cat/electric-blinds-44531/</t>
  </si>
  <si>
    <t>Ikea Electric Blinds</t>
  </si>
  <si>
    <t>London Array</t>
  </si>
  <si>
    <t>Annual Output GWh</t>
  </si>
  <si>
    <t>Hours/Yr</t>
  </si>
  <si>
    <t>https://en.wikipedia.org/wiki/London_Array</t>
  </si>
  <si>
    <t>http://xn--drmstrre-64ad.dk/wp-content/wind/miller/windpower%20web/en/tour/wres/annu.htm</t>
  </si>
  <si>
    <t>One 600KW wind turbine</t>
  </si>
  <si>
    <t>https://en.wikipedia.org/wiki/List_of_power_stations_in_Massachusetts</t>
  </si>
  <si>
    <t>Massachusetts Power Stations</t>
  </si>
  <si>
    <t>https://en.wikipedia.org/wiki/Hoosac_Wind_Power_Project</t>
  </si>
  <si>
    <t>Hoosac Wind Power Project</t>
  </si>
  <si>
    <t>Avg GW per hr</t>
  </si>
  <si>
    <t>Avg MW per hr</t>
  </si>
  <si>
    <t>https://www.climate.gov/maps-data/dataset/average-wind-speeds-map-viewer</t>
  </si>
  <si>
    <t>Wind Map Calculator</t>
  </si>
  <si>
    <t>Resources</t>
  </si>
  <si>
    <t>Electricity Generation</t>
  </si>
  <si>
    <t>https://www.energy.gov/sites/prod/files/2015/06/f22/MA_Energy%20Sector%20Risk%20Profile.pdf</t>
  </si>
  <si>
    <t>MA Electricity Consumption</t>
  </si>
  <si>
    <t>Watts Capacity</t>
  </si>
  <si>
    <t>https://www.solarreviews.com/blog/how-much-electricity-does-a-solar-panel-produce</t>
  </si>
  <si>
    <t>Massachusetts</t>
  </si>
  <si>
    <t>KWHr day per 1KW Capacity</t>
  </si>
  <si>
    <t>KWHr yr per 1KW Capacity</t>
  </si>
  <si>
    <t># of m^2 for 1KW capacity</t>
  </si>
  <si>
    <t>California</t>
  </si>
  <si>
    <t>Arizona</t>
  </si>
  <si>
    <t>Solar Production</t>
  </si>
  <si>
    <t>KWHr/yr per m^2</t>
  </si>
  <si>
    <t>m^2 per sq km</t>
  </si>
  <si>
    <t>KWHr/yr</t>
  </si>
  <si>
    <t>MWHr/yr</t>
  </si>
  <si>
    <t>GWHr/yr</t>
  </si>
  <si>
    <t>TWHr/yr</t>
  </si>
  <si>
    <t>Massachusetts, 200 square km</t>
  </si>
  <si>
    <t>Massachusetts, 10 square km</t>
  </si>
  <si>
    <t># of square mi Land</t>
  </si>
  <si>
    <t>Multiple Farms</t>
  </si>
  <si>
    <t>one farm miles dia</t>
  </si>
  <si>
    <t>one farm sq miles</t>
  </si>
  <si>
    <t># of farms</t>
  </si>
  <si>
    <t>Massachusetts, 65 TWHr/yr</t>
  </si>
  <si>
    <t>Massachusetts, 130 TWHr/yr</t>
  </si>
  <si>
    <t>36, farms, 3.3mi dia each, 300 sq miles -- assume we double since we stopped gasoline and CH4 heating</t>
  </si>
  <si>
    <t>18 farms, 3.3mi dia each, 150 sq miles -- current MA state needs</t>
  </si>
  <si>
    <t>GW Capacity</t>
  </si>
  <si>
    <t>Massachusetts, 110 TWHr/yr</t>
  </si>
  <si>
    <t>hours/yr</t>
  </si>
  <si>
    <t>Cost per Watt</t>
  </si>
  <si>
    <t>Cost ($G)</t>
  </si>
  <si>
    <t>DGD2190MS</t>
  </si>
  <si>
    <t>https://www.mouser.com/ProductDetail/Diodes-Incorporated/DGD2190MS8-13?qs=%2Fha2pyFaduiAWNyyW3VmGnbZXL2inWCA8xZX4LEdxlg%3D</t>
  </si>
  <si>
    <t>UCC27714</t>
  </si>
  <si>
    <t>Roll To Roll Solar</t>
  </si>
  <si>
    <t>https://www.youtube.com/watch?v=uXQEpVRtGtw</t>
  </si>
  <si>
    <t>First Solar's Module Manufacturing Process</t>
  </si>
  <si>
    <t>https://www.youtube.com/watch?v=DksYJqtNcX8</t>
  </si>
  <si>
    <t>Corning® Willow® Glass</t>
  </si>
  <si>
    <t>https://www.corning.com/worldwide/en/innovation/corning-emerging-innovations/corning-willow-glass.html</t>
  </si>
  <si>
    <t>https://www.youtube.com/watch?v=BKrOZ6OogmQ</t>
  </si>
  <si>
    <t>How it's made - Solar panel</t>
  </si>
  <si>
    <t>https://www.youtube.com/watch?v=nQzi1-IDVq0</t>
  </si>
  <si>
    <t>Lensun 100W Semi Flexible Solar Panel</t>
  </si>
  <si>
    <t>https://www.youtube.com/watch?v=zeVKiaif9po</t>
  </si>
  <si>
    <t>Organic solar cells by infinityPV - fast roll-to-roll (R2R) printing &amp; coating</t>
  </si>
  <si>
    <t>Corning ® Willow™ Glass for Roll-to-Roll Processing</t>
  </si>
  <si>
    <t>Flexible Solar</t>
  </si>
  <si>
    <t>Solar Panel Manuf</t>
  </si>
  <si>
    <t>Solar Panel Companies</t>
  </si>
  <si>
    <t>https://news.energysage.com/solar-panels-hail-hurricanes/</t>
  </si>
  <si>
    <t>Can solar panels withstand hail and survive hurricanes?</t>
  </si>
  <si>
    <t>Nevada</t>
  </si>
  <si>
    <t>USA Electricity Consumption</t>
  </si>
  <si>
    <t>https://www.statista.com/statistics/201794/us-electricity-consumption-since-1975/</t>
  </si>
  <si>
    <t>Nameplat MW</t>
  </si>
  <si>
    <t>Nuclear, assume 2x energy consumption due to decarbonizaiton</t>
  </si>
  <si>
    <t>USA, 8K TWHr/yr</t>
  </si>
  <si>
    <t>Annual Output TWh</t>
  </si>
  <si>
    <t>Electricity Generation Projects</t>
  </si>
  <si>
    <t xml:space="preserve">Consumption </t>
  </si>
  <si>
    <t>total cost ($G)</t>
  </si>
  <si>
    <t>Assume 3x increase in electricit consumption due to decarbonization (electricity instead of gasoline and natural gas)</t>
  </si>
  <si>
    <t>Nevada, 37k square km</t>
  </si>
  <si>
    <t>Tawian Electricity Consumption</t>
  </si>
  <si>
    <t>Taiwan</t>
  </si>
  <si>
    <t>GUESSING THIS NUMBER</t>
  </si>
  <si>
    <t>TWHr/yr After Decarbonize</t>
  </si>
  <si>
    <t>Taiwan, 2k square km</t>
  </si>
  <si>
    <t>state size sq km</t>
  </si>
  <si>
    <t>% of state</t>
  </si>
  <si>
    <t># of sq km Land</t>
  </si>
  <si>
    <t>Massachusetts, 480 square km</t>
  </si>
  <si>
    <t>today vs carboniz. Ratio</t>
  </si>
  <si>
    <t>land to solar ratio</t>
  </si>
  <si>
    <t># of sq mi solar PV</t>
  </si>
  <si>
    <t># of sq km solar PV</t>
  </si>
  <si>
    <t># of sq mi Land</t>
  </si>
  <si>
    <t>$/yr, 25yrs ($G/yr)</t>
  </si>
  <si>
    <t>MAX9030AUT</t>
  </si>
  <si>
    <t>2 ch</t>
  </si>
  <si>
    <t>https://www.digikey.com/product-detail/en/diodes-incorporated/LMV331W5-7/LMV331W5-7DITR-ND/4869028</t>
  </si>
  <si>
    <t>LMV331W5-7</t>
  </si>
  <si>
    <t>0.6uS @ 10mVdiff</t>
  </si>
  <si>
    <t xml:space="preserve"> -0.1V to Vpwr-0.8</t>
  </si>
  <si>
    <t xml:space="preserve"> 1/2/4</t>
  </si>
  <si>
    <t>Low Side, 1ch</t>
  </si>
  <si>
    <t>https://www.digikey.com/product-detail/en/texas-instruments/LM5114BMFX-S7003094/296-37382-2-ND/3997645</t>
  </si>
  <si>
    <t>LM5114BMFX-S7003094</t>
  </si>
  <si>
    <t>12.6Vgate</t>
  </si>
  <si>
    <t>1900 (bad)</t>
  </si>
  <si>
    <t>1A/7A</t>
  </si>
  <si>
    <t>https://www.digikey.com/product-detail/en/toshiba-semiconductor-and-storage/TCK402G-LF/TCK402GLFTR-ND/8543445</t>
  </si>
  <si>
    <t>TCK402G-LF</t>
  </si>
  <si>
    <t>Hi Side Charge Pump</t>
  </si>
  <si>
    <t>MOSFET, &gt;= 200Vds max, &lt;3Vgs th, &gt; 1 ohm Ron, SOT23</t>
  </si>
  <si>
    <t>https://www.digikey.com/product-detail/en/infineon-technologies/BSS131H6327XTSA1/BSS131H6327XTSA1TR-ND/2783458</t>
  </si>
  <si>
    <t>BSS131H</t>
  </si>
  <si>
    <t>20 ohms</t>
  </si>
  <si>
    <t>3.1nC</t>
  </si>
  <si>
    <t>77pF</t>
  </si>
  <si>
    <t>Sot23, N, 240V, 2 VgsTh</t>
  </si>
  <si>
    <t>C1206C104MAREC7210</t>
  </si>
  <si>
    <t>Chip Capacitor, 250V, &gt;= 0.1uF, -55 to 125C, 1210</t>
  </si>
  <si>
    <t>https://www.digikey.com/product-detail/en/kemet/C1206C104MAREC7210/C1206C104MAREC7210-ND/8645817</t>
  </si>
  <si>
    <t>https://www.digikey.com/product-detail/en/on-semiconductor/BAS21LT3G/BAS21LT3GOSTR-ND/1475480</t>
  </si>
  <si>
    <t>BAS21LT</t>
  </si>
  <si>
    <t>flash based (LF)</t>
  </si>
  <si>
    <t>NVCM based (L)</t>
  </si>
  <si>
    <t>256 pin BGA</t>
  </si>
  <si>
    <t>https://www.digikey.com/product-detail/en/lattice-semiconductor-corporation/LCMXO3L-640E-5MG121C/LCMXO3L-640E-5MG121C-ND/5774833</t>
  </si>
  <si>
    <t>website</t>
  </si>
  <si>
    <t>LCMXO3LF-640E-5MG121C</t>
  </si>
  <si>
    <t xml:space="preserve">  same as above, yet Flash instead of "Multi Time Programmable NVCM"</t>
  </si>
  <si>
    <t>https://www.digikey.com/product-detail/en/taiyo-yuden/NR8040T100M/587-2001-2-ND/1739083</t>
  </si>
  <si>
    <t>NR8040T100M</t>
  </si>
  <si>
    <t>8 x 8mm, 4mm hi</t>
  </si>
  <si>
    <t>5 combined in parallel (and then put 8 of thes in parallel and get a mess)</t>
  </si>
  <si>
    <t>https://www.digikey.com/product-detail/en/cui-inc/PESE1-S5-S12-M-TR/102-6289-2-ND/10229906</t>
  </si>
  <si>
    <t>13.2mm x 8.5mm x 7.3mm H</t>
  </si>
  <si>
    <t>12.8mm x 10.7mm x 6.7mm H</t>
  </si>
  <si>
    <t>11.6mm x 6.0mm x 10.2mm H</t>
  </si>
  <si>
    <t>$2.52 GWI arrow price</t>
  </si>
  <si>
    <t>$2.74 GWI arrow price</t>
  </si>
  <si>
    <r>
      <t xml:space="preserve">12.8mm x 10.7mm x </t>
    </r>
    <r>
      <rPr>
        <sz val="9"/>
        <color rgb="FFFF0000"/>
        <rFont val="Calibri Light"/>
        <family val="2"/>
      </rPr>
      <t>6.7mm</t>
    </r>
    <r>
      <rPr>
        <sz val="9"/>
        <color theme="1"/>
        <rFont val="Calibri Light"/>
        <family val="2"/>
      </rPr>
      <t xml:space="preserve"> H</t>
    </r>
  </si>
  <si>
    <t>interesting yet no stock &gt;&gt;</t>
  </si>
  <si>
    <t>https://www.digikey.com/product-detail/en/recom-power/R1SE-0505-H2-R/945-2272-2-ND/5226206</t>
  </si>
  <si>
    <t>R1SE-0505-H2-R</t>
  </si>
  <si>
    <r>
      <t xml:space="preserve">12mm x 10.0mm x </t>
    </r>
    <r>
      <rPr>
        <sz val="9"/>
        <color rgb="FFFF0000"/>
        <rFont val="Calibri Light"/>
        <family val="2"/>
      </rPr>
      <t>6.7mm</t>
    </r>
    <r>
      <rPr>
        <sz val="9"/>
        <color theme="1"/>
        <rFont val="Calibri Light"/>
        <family val="2"/>
      </rPr>
      <t xml:space="preserve"> H</t>
    </r>
  </si>
  <si>
    <r>
      <rPr>
        <sz val="9"/>
        <color theme="9" tint="-0.249977111117893"/>
        <rFont val="Calibri Light"/>
        <family val="2"/>
      </rPr>
      <t>19mm</t>
    </r>
    <r>
      <rPr>
        <sz val="9"/>
        <color theme="1"/>
        <rFont val="Calibri Light"/>
        <family val="2"/>
      </rPr>
      <t xml:space="preserve"> x 6.0mm x 10.2mm H</t>
    </r>
  </si>
  <si>
    <t>$2.31/1K GWI arrow price</t>
  </si>
  <si>
    <t>https://www.digikey.com/product-detail/en/cui-inc/PESE1-S5-S5-M-TR/102-6288-2-ND/10229905</t>
  </si>
  <si>
    <t>PESE1-S5-S5-M-TR</t>
  </si>
  <si>
    <t>$2.60/1K GWI arrow price</t>
  </si>
  <si>
    <t>2nd source ? &gt;&gt;</t>
  </si>
  <si>
    <t>https://www.digikey.com/product-detail/en/taiyo-yuden/NRS4018T330MDGJ/587-2891-2-ND/2648969</t>
  </si>
  <si>
    <t>NRS4018T330MDGJ</t>
  </si>
  <si>
    <t>4 x 4mm, 2mm hi</t>
  </si>
  <si>
    <t>SOT-563</t>
  </si>
  <si>
    <t>6pin SOT-563 package (1.7 x 1.7mm, 0.5mm pitch)</t>
  </si>
  <si>
    <t>https://www.digikey.com/products/en?keywords=MTSW-150-11-G-D-240</t>
  </si>
  <si>
    <t>MTSW-150-11-G-D-240</t>
  </si>
  <si>
    <t>https://www.digikey.com/product-detail/en/samtec-inc/SSQ-120-23-G-D/SAM11925-ND/6694530</t>
  </si>
  <si>
    <t>SSQ-120-23-G-D</t>
  </si>
  <si>
    <t>SSQ-120-24-G-D</t>
  </si>
  <si>
    <t xml:space="preserve"> &gt; similar to aboe yet male post is .590 instead of .390</t>
  </si>
  <si>
    <t>no stock digi/mouser</t>
  </si>
  <si>
    <t>2x20, 40 positions</t>
  </si>
  <si>
    <t>2x50, 100 positions</t>
  </si>
  <si>
    <t>male upper, male post</t>
  </si>
  <si>
    <t>Prototyping connectors, 0.1" pitch</t>
  </si>
  <si>
    <t>female upper, male post</t>
  </si>
  <si>
    <t>female 0.335, male post .392</t>
  </si>
  <si>
    <t>male 0.240, male post .590</t>
  </si>
  <si>
    <t>https://www.digikey.com/product-detail/en/samtec-inc/MTSW-136-11-G-S-240/MTSW-136-11-G-S-240-ND/8198089</t>
  </si>
  <si>
    <t>1x50, 50 positions</t>
  </si>
  <si>
    <t>‎MTSW-136-11-G-S-240‎</t>
  </si>
  <si>
    <t>1x36, 36 positions</t>
  </si>
  <si>
    <t>https://www.digikey.com/product-detail/en/samtec-inc/SSQ-150-03-G-S/SAM1198-50-ND/1111511</t>
  </si>
  <si>
    <t>SSQ-150-03-G-S</t>
  </si>
  <si>
    <t>https://media.digikey.com/pdf/Data%20Sheets/Aavid%20Thermal%20Technologies%20PDFs/Board-Level-Heatsinks_Cat.pdf</t>
  </si>
  <si>
    <t>Prototyping</t>
  </si>
  <si>
    <t>Heat Sinks</t>
  </si>
  <si>
    <t>Aavid Heat Sink Catalog</t>
  </si>
  <si>
    <t>https://www.cleanenergyreviews.info/blog/solar-panel-components-construction</t>
  </si>
  <si>
    <r>
      <t>Solar Panel Construction (</t>
    </r>
    <r>
      <rPr>
        <sz val="11"/>
        <color rgb="FFFF0000"/>
        <rFont val="Calibri"/>
        <family val="2"/>
        <scheme val="minor"/>
      </rPr>
      <t>good</t>
    </r>
    <r>
      <rPr>
        <sz val="11"/>
        <color theme="1"/>
        <rFont val="Calibri"/>
        <family val="2"/>
        <scheme val="minor"/>
      </rPr>
      <t>)</t>
    </r>
  </si>
  <si>
    <t>https://www.3m.com/3M/en_US/power-generation-us/solutions/solar-energy/applications/</t>
  </si>
  <si>
    <r>
      <t>3m products used in Solar Panels (</t>
    </r>
    <r>
      <rPr>
        <sz val="11"/>
        <color rgb="FFFF0000"/>
        <rFont val="Calibri"/>
        <family val="2"/>
        <scheme val="minor"/>
      </rPr>
      <t>good</t>
    </r>
    <r>
      <rPr>
        <sz val="11"/>
        <color theme="1"/>
        <rFont val="Calibri"/>
        <family val="2"/>
        <scheme val="minor"/>
      </rPr>
      <t>)</t>
    </r>
  </si>
  <si>
    <t>buy</t>
  </si>
  <si>
    <t>https://www.digikey.com/product-detail/en/infineon-technologies/BSR92PH6327XTSA1/BSR92PH6327XTSA1TR-ND/5623206</t>
  </si>
  <si>
    <t>4.8nC</t>
  </si>
  <si>
    <t>108pF</t>
  </si>
  <si>
    <t>BSR92PH6327XTSA1</t>
  </si>
  <si>
    <t>input bias max &lt;85C nA</t>
  </si>
  <si>
    <r>
      <t xml:space="preserve">Sot23, </t>
    </r>
    <r>
      <rPr>
        <sz val="9"/>
        <color rgb="FFFF0000"/>
        <rFont val="Calibri Light"/>
        <family val="2"/>
      </rPr>
      <t>P</t>
    </r>
    <r>
      <rPr>
        <sz val="9"/>
        <color theme="1"/>
        <rFont val="Calibri Light"/>
        <family val="2"/>
      </rPr>
      <t>, 100V, 4 VgsTh</t>
    </r>
  </si>
  <si>
    <r>
      <t xml:space="preserve">Sot23, </t>
    </r>
    <r>
      <rPr>
        <sz val="9"/>
        <color rgb="FFFF0000"/>
        <rFont val="Calibri Light"/>
        <family val="2"/>
      </rPr>
      <t>P</t>
    </r>
    <r>
      <rPr>
        <sz val="9"/>
        <color theme="1"/>
        <rFont val="Calibri Light"/>
        <family val="2"/>
      </rPr>
      <t>, 250V, 3 VgsTh</t>
    </r>
  </si>
  <si>
    <t>https://www.digikey.com/product-detail/en/infineon-technologies/BSS84PH6433XTMA1/BSS84PH6433XTMA1TR-ND/5410125</t>
  </si>
  <si>
    <t>BSS84PH6433XTMA1</t>
  </si>
  <si>
    <t>8 ohms</t>
  </si>
  <si>
    <t>Gate Charge (pC) Qg</t>
  </si>
  <si>
    <t>1.5nC</t>
  </si>
  <si>
    <t>19pF</t>
  </si>
  <si>
    <t>3.5V fully on</t>
  </si>
  <si>
    <r>
      <t xml:space="preserve">Sot23, </t>
    </r>
    <r>
      <rPr>
        <sz val="9"/>
        <color rgb="FFFF0000"/>
        <rFont val="Calibri Light"/>
        <family val="2"/>
      </rPr>
      <t>P</t>
    </r>
    <r>
      <rPr>
        <sz val="9"/>
        <color theme="1"/>
        <rFont val="Calibri Light"/>
        <family val="2"/>
      </rPr>
      <t>, 60V, 3.5 VgsTh</t>
    </r>
  </si>
  <si>
    <t>1mx @25C, 100mx @150C</t>
  </si>
  <si>
    <t>I dss drain-source uA</t>
  </si>
  <si>
    <t>I gss gate-source uA</t>
  </si>
  <si>
    <t>https://www.onsemi.com/pub/Collateral/BZX84C2V4LT1-D.PDF</t>
  </si>
  <si>
    <t xml:space="preserve"> &gt; 100pF with 18Vz: OnSemi BZX84Bxx, BZX84Cxx, SZBZX84Bxx, SZBZX84Cxx, MM3Z</t>
  </si>
  <si>
    <t xml:space="preserve"> &gt; pf Better: OnSemi MMBZ52xx, SZMMBZ52xx (SZ is auto), MicroCommercial MMSZ5248, </t>
  </si>
  <si>
    <t>4mA</t>
  </si>
  <si>
    <t>4mA * 50K = 200Volts !!!!!!</t>
  </si>
  <si>
    <t>Scenarios</t>
  </si>
  <si>
    <t>25..75V</t>
  </si>
  <si>
    <t>14V local power causes 14VaboveMe to turn off, FPGA sees PV power on and this causes ByPass MOSFET to turn off</t>
  </si>
  <si>
    <t>turned off</t>
  </si>
  <si>
    <t>turned ON</t>
  </si>
  <si>
    <t>14V aboveMe powers me and this causes the ByPass MOSFET to turn ON</t>
  </si>
  <si>
    <t>http://www.ti.com/lit/ds/symlink/lmv324a.pdf</t>
  </si>
  <si>
    <t>https://www.onsemi.com/pub/Collateral/LMV321-D.PDF</t>
  </si>
  <si>
    <t>https://www.st.com/content/ccc/resource/technical/document/datasheet/b9/d8/3b/8f/a1/8f/46/01/CD00079372.pdf/files/CD00079372.pdf/jcr:content/translations/en.CD00079372.pdf</t>
  </si>
  <si>
    <t>ST Micro</t>
  </si>
  <si>
    <t>Input Bias Current</t>
  </si>
  <si>
    <t>Manuf</t>
  </si>
  <si>
    <t>https://www.diodes.com/assets/Datasheets/LMV321_358.pdf</t>
  </si>
  <si>
    <t>Diodes Inc</t>
  </si>
  <si>
    <t>25pA Typical shown in graph at 85C; yet MAX is not specified anywhere in datasheet. Table says 0.5pA typical at 25C.</t>
  </si>
  <si>
    <r>
      <t xml:space="preserve">&lt; 1nA </t>
    </r>
    <r>
      <rPr>
        <sz val="11"/>
        <color theme="0" tint="-0.34998626667073579"/>
        <rFont val="Calibri"/>
        <family val="2"/>
        <scheme val="minor"/>
      </rPr>
      <t xml:space="preserve">typical </t>
    </r>
    <r>
      <rPr>
        <sz val="11"/>
        <color theme="1"/>
        <rFont val="Calibri"/>
        <family val="2"/>
        <scheme val="minor"/>
      </rPr>
      <t>-40C to 85C, max not specified</t>
    </r>
  </si>
  <si>
    <r>
      <t xml:space="preserve">85nA </t>
    </r>
    <r>
      <rPr>
        <sz val="11"/>
        <color theme="9"/>
        <rFont val="Calibri"/>
        <family val="2"/>
        <scheme val="minor"/>
      </rPr>
      <t>MAXIMUM</t>
    </r>
    <r>
      <rPr>
        <sz val="11"/>
        <color theme="1"/>
        <rFont val="Calibri"/>
        <family val="2"/>
        <scheme val="minor"/>
      </rPr>
      <t xml:space="preserve"> -40C to 85C</t>
    </r>
  </si>
  <si>
    <r>
      <t>10nA</t>
    </r>
    <r>
      <rPr>
        <sz val="11"/>
        <color theme="0" tint="-0.34998626667073579"/>
        <rFont val="Calibri"/>
        <family val="2"/>
        <scheme val="minor"/>
      </rPr>
      <t xml:space="preserve"> typical</t>
    </r>
    <r>
      <rPr>
        <sz val="11"/>
        <color theme="1"/>
        <rFont val="Calibri"/>
        <family val="2"/>
        <scheme val="minor"/>
      </rPr>
      <t xml:space="preserve"> at 25C, max not specified</t>
    </r>
  </si>
  <si>
    <r>
      <t>5</t>
    </r>
    <r>
      <rPr>
        <sz val="11"/>
        <color rgb="FF00B050"/>
        <rFont val="Calibri"/>
        <family val="2"/>
        <scheme val="minor"/>
      </rPr>
      <t>p</t>
    </r>
    <r>
      <rPr>
        <sz val="11"/>
        <color theme="1"/>
        <rFont val="Calibri"/>
        <family val="2"/>
        <scheme val="minor"/>
      </rPr>
      <t xml:space="preserve">A </t>
    </r>
    <r>
      <rPr>
        <sz val="11"/>
        <color theme="0" tint="-0.34998626667073579"/>
        <rFont val="Calibri"/>
        <family val="2"/>
        <scheme val="minor"/>
      </rPr>
      <t>typical</t>
    </r>
    <r>
      <rPr>
        <sz val="11"/>
        <color theme="1"/>
        <rFont val="Calibri"/>
        <family val="2"/>
        <scheme val="minor"/>
      </rPr>
      <t xml:space="preserve"> at 85C (according to fig 1 and 2), max not specified</t>
    </r>
  </si>
  <si>
    <t>100pA Maximum at 85C,  10pA Maximum at 25C,  1pA Typical at 25C -- all specified in table.</t>
  </si>
  <si>
    <t xml:space="preserve">250pA Maximum at 85C,  120pA Maximum at 25C, 50dB cmmr (very low), vin -0.2 to (Vcc-1), 4.5mVos max 85C, vout 0.1 to Vcc-0.1, </t>
  </si>
  <si>
    <t>http://www.ti.com/lit/ds/symlink/tlv272.pdf</t>
  </si>
  <si>
    <t>200pA Maximum at 85C,  100pA Maximum at 25C, 62dB cmrr, 60uA quiesent/ch, 2.4mVos max ot, 0.2MHz GBW</t>
  </si>
  <si>
    <t>http://www.ti.com/lit/ds/symlink/opa2348.pdf</t>
  </si>
  <si>
    <t>0.1pA Typical at 25C, 60dB cmrr, 0.6uA quiesent/ch, 3.4mVos max ot, 8 KHz GBW</t>
  </si>
  <si>
    <t>CMRR Max Over Temp</t>
  </si>
  <si>
    <t>mVos Max Over Temp</t>
  </si>
  <si>
    <t>Sources Of Error</t>
  </si>
  <si>
    <t>Op Amp, Rail to Rail Input, 1x/2x/4x circuits, Vpwr max is low to save $, &lt;= 200pA max over temp, fast &gt;= 10MHz GBW</t>
  </si>
  <si>
    <t>Op Amp, Rail to Rail Input, Quad, Vpwr max is low to save $, &lt;= 10pA typical @ 25C, slow &lt;2MHz GBW, &lt; 200uA/amplifier</t>
  </si>
  <si>
    <t>60min 80typ Vcm between 0V and Vcc,   90typ Vcm between 0V and Vcc-1.2</t>
  </si>
  <si>
    <t>50 (bad)</t>
  </si>
  <si>
    <t>cmrr (dB)</t>
  </si>
  <si>
    <t>Vref (V)</t>
  </si>
  <si>
    <t>mVos error</t>
  </si>
  <si>
    <t>https://www.st.com/content/ccc/resource/technical/document/datasheet/b5/7c/ad/c8/37/4f/4b/78/DM00078052.pdf/files/DM00078052.pdf/jcr:content/translations/en.DM00078052.pdf</t>
  </si>
  <si>
    <t xml:space="preserve"> -0.1 to (Vcc-1.6) for 62dB min cmrr over temp.  If you are ok with 55dB cmrr you can go to  -0.1 to (Vcc+0.1)</t>
  </si>
  <si>
    <t>Gate Drivers</t>
  </si>
  <si>
    <t>Ron (ohms)</t>
  </si>
  <si>
    <t>N-Channel</t>
  </si>
  <si>
    <t>P-Channel</t>
  </si>
  <si>
    <t>https://www.onsemi.com/pub/Collateral/BSS123LT1-D.PDF</t>
  </si>
  <si>
    <t xml:space="preserve"> +-1 uA max at 25C (Vds = 80V, Vgs = 0V)</t>
  </si>
  <si>
    <t xml:space="preserve"> +-1 uA max at 25C (Vds = -100V, Vgs = 0V)</t>
  </si>
  <si>
    <t xml:space="preserve"> +-15 uA max at 25C, 60 uA max at 125C (Vds = 100V, Vgs = 0V)</t>
  </si>
  <si>
    <t xml:space="preserve"> +-0.1 uA max at 25C (Vgs = +-20V, Vds = 0V)</t>
  </si>
  <si>
    <t xml:space="preserve"> +-10 uA max at 25C (Vgs = +-20V, Vds = 0V)</t>
  </si>
  <si>
    <t xml:space="preserve"> +-0.050 uA max at 25C (Vgs = +-20V, Vds = 0V)</t>
  </si>
  <si>
    <t>Selection Tool:</t>
  </si>
  <si>
    <t>http://www.ti.com/power-management/gate-drivers/half-bridge-drivers/products.html#p3162max=20;120</t>
  </si>
  <si>
    <t>http://www.ti.com/power-management/gate-drivers/low-side-drivers/products.html#p480=1;2&amp;~p2192=Split%20Output</t>
  </si>
  <si>
    <t>LM5113 is the only TI Half Bridge Driver with split outputs (keeps gate low when other guy is moving, turn on time is slowed with resistor, turn off time is low R_gate to hold low) -- This is ONLY Ti part with split outputs, Vgs max is set to 5V. Vcc MAX is 5V (not 14V !!!)</t>
  </si>
  <si>
    <t>https://www.digikey.com/product-detail/en/texas-instruments/UCC27511ADBVR/296-49474-2-ND/9371276</t>
  </si>
  <si>
    <t>UCC27511ADBVR</t>
  </si>
  <si>
    <t>4A/8A</t>
  </si>
  <si>
    <r>
      <t xml:space="preserve">Low Side, 1ch, </t>
    </r>
    <r>
      <rPr>
        <sz val="9"/>
        <color rgb="FFFF0000"/>
        <rFont val="Calibri Light"/>
        <family val="2"/>
      </rPr>
      <t xml:space="preserve">SPLIT OUT </t>
    </r>
  </si>
  <si>
    <t>Low Side Drivers, 1 Channel, Split Outputs, Selection Table:</t>
  </si>
  <si>
    <t xml:space="preserve"> +-0.010 uA max at 25°C (Vgs = +-20V, Vds = 0V)</t>
  </si>
  <si>
    <t xml:space="preserve"> +-0.050 uA max at 25°C (Vgs = +-20V, Vds = 0V)</t>
  </si>
  <si>
    <t xml:space="preserve"> +-10 uA max at 25°C (Vgs = +-20V, Vds = 0V)</t>
  </si>
  <si>
    <t>1mx @25°C, 100mx @150°C</t>
  </si>
  <si>
    <t>Level Translators</t>
  </si>
  <si>
    <t>desc</t>
  </si>
  <si>
    <t>CD4504B</t>
  </si>
  <si>
    <t>https://www.digikey.com/product-detail/en/texas-instruments/CD4504BM96/296-14150-2-ND/525968</t>
  </si>
  <si>
    <t>6ch, 3V/18V</t>
  </si>
  <si>
    <t>https://www.digikey.com/product-detail/en/stmicroelectronics/HCF4010YM013TR/497-13665-2-ND/4022767</t>
  </si>
  <si>
    <t>HCF4010YM013TR</t>
  </si>
  <si>
    <t>6ch, 3V/20V</t>
  </si>
  <si>
    <t>hi out mA, 10Vdd</t>
  </si>
  <si>
    <t>low out mA, 10Vdd</t>
  </si>
  <si>
    <t>lo to hi nSec, 10Vdd</t>
  </si>
  <si>
    <t>hi to lo nSec, 10Vdd</t>
  </si>
  <si>
    <t>drive</t>
  </si>
  <si>
    <t>push/pull</t>
  </si>
  <si>
    <t>Vcc</t>
  </si>
  <si>
    <t>3.3 to 20</t>
  </si>
  <si>
    <t>3.3 to 18</t>
  </si>
  <si>
    <t>https://www.digikey.com/product-detail/en/texas-instruments/CD4050BPWR/296-31504-2-ND/1691144</t>
  </si>
  <si>
    <t>mx quies mA 85C, 20Vdd</t>
  </si>
  <si>
    <t>CD40109BPWR</t>
  </si>
  <si>
    <t>Design Date</t>
  </si>
  <si>
    <t>6.0 (bad)</t>
  </si>
  <si>
    <t>http://clareweb1.ixysic.com/Products/IGBT-MOSFETDvr.htm</t>
  </si>
  <si>
    <t>ixysic selection table, simple parts</t>
  </si>
  <si>
    <t>https://www.digikey.com/product-detail/en/ixys-integrated-circuits-division/IXDD609D2TR/IXDD609D2TR-ND/2521817</t>
  </si>
  <si>
    <r>
      <t xml:space="preserve">Low Side, 1ch, </t>
    </r>
    <r>
      <rPr>
        <sz val="9"/>
        <color rgb="FFFF0000"/>
        <rFont val="Calibri Light"/>
        <family val="2"/>
      </rPr>
      <t>ENABLE HiZ Out</t>
    </r>
  </si>
  <si>
    <t>9A/9A</t>
  </si>
  <si>
    <t>enable pin turns on HiZ output</t>
  </si>
  <si>
    <t>MOSFET, 20 to 60Vds, 0.05 to 0.2 ohm Ron, SOT23</t>
  </si>
  <si>
    <t>https://www.digikey.com/product-detail/en/diodes-incorporated/DMG2302UK-13/DMG2302UK-13-ND/6187259</t>
  </si>
  <si>
    <t>DMG2302UK</t>
  </si>
  <si>
    <t xml:space="preserve"> +-10 uA max at 25C (Vds = 16V, Vgs = 0V)</t>
  </si>
  <si>
    <t xml:space="preserve"> +-10 uA max at 25C (Vgs = +-10V, Vds = 0V)</t>
  </si>
  <si>
    <t>Type</t>
  </si>
  <si>
    <t>https://www.digikey.com/product-detail/en/diodes-incorporated/DMN6075S-13/DMN6075S-13DI-ND/5149391</t>
  </si>
  <si>
    <t>DMN6075S</t>
  </si>
  <si>
    <t xml:space="preserve"> +-1 uA max at 25C (Vds = 60V, Vgs = 0V)</t>
  </si>
  <si>
    <t xml:space="preserve"> +-0.1 uA max at 25C (Vgs = +-16V, Vds = 0V)</t>
  </si>
  <si>
    <t>https://www.digikey.com/product-detail/en/on-semiconductor/NTR4501NT1G/NTR4501NT1GOSTR-ND/687097</t>
  </si>
  <si>
    <t>NTR4501NT1G</t>
  </si>
  <si>
    <t xml:space="preserve"> +-0.1 uA max at 25C (Vgs = +-12V, Vds = 0V)</t>
  </si>
  <si>
    <t xml:space="preserve"> +-1.5 uA max at 25C (Vds = 16V, Vgs = 0V),  +-10 uA max at 85C</t>
  </si>
  <si>
    <t>Vds max</t>
  </si>
  <si>
    <t>Vgs max</t>
  </si>
  <si>
    <t>https://www.digikey.com/product-detail/en/diodes-incorporated/DMP3099LQ-7/DMP3099LQ-7-ND/9769996</t>
  </si>
  <si>
    <t>DMP3099LQ</t>
  </si>
  <si>
    <t xml:space="preserve"> +-0.8 uA max at 25C (Vds = 60V, Vgs = 0V)</t>
  </si>
  <si>
    <t>85 mΩ</t>
  </si>
  <si>
    <t>65 mΩ</t>
  </si>
  <si>
    <t>600pF typ</t>
  </si>
  <si>
    <t>Sot23, N, 60V, 3.5 VgsTh</t>
  </si>
  <si>
    <t>12nC</t>
  </si>
  <si>
    <r>
      <t xml:space="preserve">Sot23, </t>
    </r>
    <r>
      <rPr>
        <sz val="9"/>
        <color rgb="FFFF0000"/>
        <rFont val="Calibri Light"/>
        <family val="2"/>
      </rPr>
      <t>P</t>
    </r>
    <r>
      <rPr>
        <sz val="9"/>
        <color theme="1"/>
        <rFont val="Calibri Light"/>
        <family val="2"/>
      </rPr>
      <t>, 30V, 4 VgsTh</t>
    </r>
  </si>
  <si>
    <t>11nC</t>
  </si>
  <si>
    <t>DMP3099L</t>
  </si>
  <si>
    <t>300pF typ</t>
  </si>
  <si>
    <t>90 mΩ</t>
  </si>
  <si>
    <t>8nC</t>
  </si>
  <si>
    <t>https://www.digikey.com/product-detail/en/diodes-incorporated/DMP2170U-13/DMP2170U-13-ND/6187309</t>
  </si>
  <si>
    <t>TSX632 $0.44 (2ch)</t>
  </si>
  <si>
    <t>max i/o voltage</t>
  </si>
  <si>
    <t>4..16</t>
  </si>
  <si>
    <t>https://www.digikey.com/product-detail/en/microchip-technology/MCP3461T-E-NC/MCP3461T-E-NCTR-ND/9947519</t>
  </si>
  <si>
    <t>https://www.digikey.com/product-detail/en/analog-devices-inc/AD7171BCPZ-REEL7/AD7171BCPZ-REEL7TR-ND/2260938</t>
  </si>
  <si>
    <t>16bit, delta sigma, $1.60, 60s/sec</t>
  </si>
  <si>
    <t>AD7171BCPZ</t>
  </si>
  <si>
    <t>https://www.digikey.com/product-detail/en/linear-technology-analog-devices/LTC2450CDC-TRPBF/LTC2450CDC-TRPBF-ND/1745777</t>
  </si>
  <si>
    <t>LTC2450CDC</t>
  </si>
  <si>
    <t>DMP2170U</t>
  </si>
  <si>
    <t>3.7ty 5.8mx</t>
  </si>
  <si>
    <t>1.4mx</t>
  </si>
  <si>
    <r>
      <t xml:space="preserve">Low Ron </t>
    </r>
    <r>
      <rPr>
        <sz val="9"/>
        <color theme="1"/>
        <rFont val="Calibri"/>
        <family val="2"/>
      </rPr>
      <t>Ω</t>
    </r>
  </si>
  <si>
    <r>
      <t xml:space="preserve">Hi Ron </t>
    </r>
    <r>
      <rPr>
        <sz val="9"/>
        <color theme="1"/>
        <rFont val="Calibri"/>
        <family val="2"/>
      </rPr>
      <t>Ω</t>
    </r>
  </si>
  <si>
    <t>90ty 125mx</t>
  </si>
  <si>
    <t>15ty 30mx</t>
  </si>
  <si>
    <t>25ty 50mx</t>
  </si>
  <si>
    <t>140ty 200mx</t>
  </si>
  <si>
    <t>https://www.digikey.com/product-detail/en/infineon-technologies/IRS2186STRPBF/IRS2186STRPBFTR-ND/1300640</t>
  </si>
  <si>
    <t>170ty 250mx</t>
  </si>
  <si>
    <t>28ty 30mx</t>
  </si>
  <si>
    <t>https://www.digikey.com/product-detail/en/stmicroelectronics/L6491DTR/497-19274-2-ND/7312894</t>
  </si>
  <si>
    <t>85ty 120mx</t>
  </si>
  <si>
    <t>15ty 40mx</t>
  </si>
  <si>
    <t>programmable</t>
  </si>
  <si>
    <t>100ty 160mx</t>
  </si>
  <si>
    <t>16ty 50mx</t>
  </si>
  <si>
    <t>10ty 50mx</t>
  </si>
  <si>
    <t>Turn On Delay nS Typ 1kPf</t>
  </si>
  <si>
    <t>Turn Off Delay nS Typ 1kPf</t>
  </si>
  <si>
    <t>1ty 4mx (via math 0.1/0.1, 0.4/0.1)</t>
  </si>
  <si>
    <t>1.5ty 4mx (via math 0.15/0.1, 0.4/0.1)</t>
  </si>
  <si>
    <t>20ty 50mx</t>
  </si>
  <si>
    <t>8ty, ?mx</t>
  </si>
  <si>
    <t>7ty, ?mx</t>
  </si>
  <si>
    <t>https://www.digikey.com/product-detail/en/on-semiconductor/NCP81075MNTXG/NCP81075MNTXG-ND/7931468</t>
  </si>
  <si>
    <t>UCC27282</t>
  </si>
  <si>
    <t>2.5A/3.5A</t>
  </si>
  <si>
    <t>.8ty 4mx (via math 0.085/0.1, 0.4/0.1)</t>
  </si>
  <si>
    <t>1.3ty 4mx (via math 0.13/0.1, 0.42/0.1)</t>
  </si>
  <si>
    <t>16ty 30mx</t>
  </si>
  <si>
    <t>12ty</t>
  </si>
  <si>
    <t>10ty</t>
  </si>
  <si>
    <t>https://www.digikey.com/product-detail/en/texas-instruments/UCC27282DRCR/296-53503-2-ND/10261730</t>
  </si>
  <si>
    <t>Coss Both Hi &amp; Lo Mosfets</t>
  </si>
  <si>
    <t>One Mosfet: Capacitance C oss nF</t>
  </si>
  <si>
    <t>Rg lo (Ω)</t>
  </si>
  <si>
    <r>
      <t xml:space="preserve">S23, </t>
    </r>
    <r>
      <rPr>
        <sz val="9"/>
        <color rgb="FFFF0000"/>
        <rFont val="Calibri Light"/>
        <family val="2"/>
      </rPr>
      <t>P</t>
    </r>
    <r>
      <rPr>
        <sz val="9"/>
        <color theme="1"/>
        <rFont val="Calibri Light"/>
        <family val="2"/>
      </rPr>
      <t>, 20Vds, 12Vgs, 4 VgsTh</t>
    </r>
  </si>
  <si>
    <t>130pF typ</t>
  </si>
  <si>
    <t>3nC</t>
  </si>
  <si>
    <t>S23, N, 20Vds, 12Vgs, 2VgsTh</t>
  </si>
  <si>
    <r>
      <t xml:space="preserve"> +-</t>
    </r>
    <r>
      <rPr>
        <sz val="9"/>
        <color rgb="FFFF0000"/>
        <rFont val="Calibri Light"/>
        <family val="2"/>
      </rPr>
      <t>10</t>
    </r>
    <r>
      <rPr>
        <sz val="9"/>
        <color theme="1"/>
        <rFont val="Calibri Light"/>
        <family val="2"/>
      </rPr>
      <t xml:space="preserve"> uA max at 25C (Vgs = +-10V, Vds = 0V)</t>
    </r>
  </si>
  <si>
    <t>I/O Voltage levels and currents, see "3.12. sysI/O Single-Ended DC Electrical Characteristics" in file:</t>
  </si>
  <si>
    <t>Power Stage Reference Design for &lt;100-VIN DC/DC Converters</t>
  </si>
  <si>
    <t>http://www.ti.com/lit/ug/tidueq1a/tidueq1a.pdf</t>
  </si>
  <si>
    <t>(very good)</t>
  </si>
  <si>
    <t>Power Supplies for IC's (e.g. 14V, 5V, 3.3V, 2.9V)</t>
  </si>
  <si>
    <t>Microprocessor Design</t>
  </si>
  <si>
    <t>Post Processor</t>
  </si>
  <si>
    <t>Note: in order to use this feature, you must check "Save all analysis results" in the Analysis.Options dialog</t>
  </si>
  <si>
    <t>If you want to show/hide specific curves, then do not use post processor, and instead use "Plotted Curves Window"</t>
  </si>
  <si>
    <t>Observed  Sim Max Amps</t>
  </si>
  <si>
    <t>Calc avg Amps during hump</t>
  </si>
  <si>
    <t>PV Voltage</t>
  </si>
  <si>
    <t>Time for 1/2 cycle, nSec</t>
  </si>
  <si>
    <t>Calc avg Watts, Hi+Lo Fet</t>
  </si>
  <si>
    <t>Avg Amps calc during hump</t>
  </si>
  <si>
    <t>Hi1 Watts</t>
  </si>
  <si>
    <t>Li1 Watts</t>
  </si>
  <si>
    <t>Watts Dvr Boot Diode</t>
  </si>
  <si>
    <t>Watts Dvr Boot Res</t>
  </si>
  <si>
    <t>Sim File</t>
  </si>
  <si>
    <t>200pA Maximum at 85C,   100pA Maximum at 25C,   1pA Typical at 25C</t>
  </si>
  <si>
    <t>MOSFETS with Low Gate and Drain Leakage</t>
  </si>
  <si>
    <t>ti.com price is $0.92, arrow $1.13</t>
  </si>
  <si>
    <t>arrow $0.69</t>
  </si>
  <si>
    <t>no spice for 2190M/21904M</t>
  </si>
  <si>
    <t>No spice: OnSemi #FAN73933/FAN73932</t>
  </si>
  <si>
    <t>High Side, 1 Channel</t>
  </si>
  <si>
    <t>Half Bridge, &lt; 1Amp</t>
  </si>
  <si>
    <t>Hi Side Charge Pump, 35V</t>
  </si>
  <si>
    <t>3.5A/3A</t>
  </si>
  <si>
    <t>7ns match delay</t>
  </si>
  <si>
    <t>https://www.digikey.com/products/en/integrated-circuits-ics/pmic-full-half-bridge-drivers/746?quantity=0&amp;ColumnSort=1000011&amp;page=1&amp;k=NCP51530B&amp;pageSize=25</t>
  </si>
  <si>
    <t>1.2ty (via math 0.125/0.1)</t>
  </si>
  <si>
    <t>1.5ty (via math 0.15/0.1)</t>
  </si>
  <si>
    <t>8ty 15mx</t>
  </si>
  <si>
    <t>25ty 40mx</t>
  </si>
  <si>
    <t>$0.75 arrow, OnSemi.com has encrypted pSpice (useless)</t>
  </si>
  <si>
    <t>$0.96 arrow, OnSemi.com has encrypted pSpice (useless)</t>
  </si>
  <si>
    <t>ti.com has pSpice, ti.com says $0.88, arrow $1.08</t>
  </si>
  <si>
    <t>Gate Drv Testing, UCC27714 -  2xFet Switch, v5e.TSC</t>
  </si>
  <si>
    <t>Hi1 Rg On (Ω)</t>
  </si>
  <si>
    <t>Lo1 Rg On  (Ω)</t>
  </si>
  <si>
    <t>20u to 22u</t>
  </si>
  <si>
    <t>Watts Both Mosfet Abs</t>
  </si>
  <si>
    <t>Simulator, Plot Watts, Select, Get Absolute Average over 1 cycle</t>
  </si>
  <si>
    <t>Watts IC, drive Hi/Lo Gates Abs</t>
  </si>
  <si>
    <t>Gate Drv Testing, UCC27712 -  2xFet Switch, v6a.TSC</t>
  </si>
  <si>
    <t>Gate Drv Testing, UCC27714 -  2xFet Switch, v5f.TSC</t>
  </si>
  <si>
    <t>UCC27712</t>
  </si>
  <si>
    <t xml:space="preserve"> * If one measures Vos offset at factory and stores in eeprom then they can use that to remove Vos error</t>
  </si>
  <si>
    <t xml:space="preserve"> * TI Cross Reference:</t>
  </si>
  <si>
    <t>Notes:</t>
  </si>
  <si>
    <t>3 Independent Diodes in Array,  SOT-363 (25mil pitch) or SC-77 (40mil pitch)</t>
  </si>
  <si>
    <r>
      <t>Fast Signal Diodes (</t>
    </r>
    <r>
      <rPr>
        <b/>
        <sz val="11"/>
        <color theme="6"/>
        <rFont val="Calibri"/>
        <family val="2"/>
      </rPr>
      <t>≥</t>
    </r>
    <r>
      <rPr>
        <b/>
        <sz val="11"/>
        <color theme="6"/>
        <rFont val="Calibri"/>
        <family val="2"/>
        <scheme val="minor"/>
      </rPr>
      <t xml:space="preserve"> 100Vr max, ≤ 50 nSec, </t>
    </r>
    <r>
      <rPr>
        <b/>
        <sz val="11"/>
        <color theme="6"/>
        <rFont val="Calibri"/>
        <family val="2"/>
      </rPr>
      <t>≤</t>
    </r>
    <r>
      <rPr>
        <b/>
        <sz val="11"/>
        <color theme="6"/>
        <rFont val="Calibri"/>
        <family val="2"/>
        <scheme val="minor"/>
      </rPr>
      <t xml:space="preserve"> 200mA avg current)</t>
    </r>
  </si>
  <si>
    <t>https://www.digikey.com/product-detail/en/on-semiconductor/BAS16LT3G/BAS16LT3GOSTR-ND/1475465</t>
  </si>
  <si>
    <t>see above …..</t>
  </si>
  <si>
    <t>LM5107</t>
  </si>
  <si>
    <t>arrow $0.75</t>
  </si>
  <si>
    <t>IRS2005, Infineon</t>
  </si>
  <si>
    <t>infineon.com no spice, arrow $0.75</t>
  </si>
  <si>
    <t>request simulation model:</t>
  </si>
  <si>
    <t>https://www.infineon.com/cms/en/tools/solution-finder/product-finder/simulation-model/?filterValues=~(PRODUCT_FILTER~%27IRS)&amp;visibleColumnIds=name,productStatusInfo,724,2c803337c8bf4224ab0f03561e1c0e7c,5546d4624f205c9a014f3c76a4f51d29,722,496_nom,496_max,618</t>
  </si>
  <si>
    <t>22ty 38mx</t>
  </si>
  <si>
    <t>35ns match delay</t>
  </si>
  <si>
    <t>https://www.digikey.com/product-detail/en/diodes-incorporated/DGD2012S8-13/DGD2012S8-13DITR-ND/9765727</t>
  </si>
  <si>
    <t>no spice diodes.com, arrow $0.49</t>
  </si>
  <si>
    <t>1.9A/2.3A</t>
  </si>
  <si>
    <t>L6491, st.com</t>
  </si>
  <si>
    <t>0.5A/1A</t>
  </si>
  <si>
    <t>IRS2186STRPBF, infineon</t>
  </si>
  <si>
    <t>2.5A/2.5A</t>
  </si>
  <si>
    <t>https://www.digikey.com/product-detail/en/infineon-technologies/2ED21814S06JXUMA1/448-2ED21814S06JXUMA1TR-ND/10641276</t>
  </si>
  <si>
    <t>2ED21814S06J, infineon</t>
  </si>
  <si>
    <t>arrow $0.97, no spice</t>
  </si>
  <si>
    <t>DGD2012S, diodes.com</t>
  </si>
  <si>
    <t>DGD2190M (DGD21904M is similar), diodes.com</t>
  </si>
  <si>
    <t>L6498, st.com</t>
  </si>
  <si>
    <t>https://design.infineon.com/tinademo/designer.php?path=EXAMPLESROOT%7CINFINEON%7CApplications%7CPower%20supplies%7C&amp;file=power_400VDC_SMPS_Half-Bridge_2EDS8265H_CT_reinforced_isolation.TSC&amp;_ga=2.250650374.1613125719.1585853427-1546078566.1579652981&amp;_gac=1.95292142.1585854278.Cj0KCQjwmpb0BRCBARIsAG7y4zbfyf-v1kcIBu5F7Ucry7ZOgCiXzttCqaylaHE3aYwMeBHg3nrieyUaAieJEALw_wcB</t>
  </si>
  <si>
    <t>infineon simulator:</t>
  </si>
  <si>
    <t>Tina Library: Spice Macros / Other Components:   IRS2005 (0.3A/200V), IRS25752L (1ch)</t>
  </si>
  <si>
    <t>Tina Library: Spice Macros / SMPS:   UCC27…, UCC28, UCCx732.., UCCx80..</t>
  </si>
  <si>
    <t>Low Side, 1 or 2 channels</t>
  </si>
  <si>
    <t>https://www.digikey.com/product-detail/en/ixys-integrated-circuits-division/IX4340UETR/212-IX4340UETR-ND/10477913</t>
  </si>
  <si>
    <t>Low Side, 2ch</t>
  </si>
  <si>
    <t>5A/5A</t>
  </si>
  <si>
    <t>Has spice yet it is encrypted and useless</t>
  </si>
  <si>
    <t>3A/3A</t>
  </si>
  <si>
    <t>https://www.digikey.com/product-detail/en/on-semiconductor/FAN3216TMX/FAN3216TMXTR-ND/2509467</t>
  </si>
  <si>
    <t>FAN3216TMX, OnSemi</t>
  </si>
  <si>
    <t>IX4340UETR, IXYS</t>
  </si>
  <si>
    <t>UCC27524DGNR</t>
  </si>
  <si>
    <t>1mx</t>
  </si>
  <si>
    <t>7.5mx</t>
  </si>
  <si>
    <t>https://www.digikey.com/product-detail/en/texas-instruments/UCC27524DGNR/296-30607-2-ND/3458147</t>
  </si>
  <si>
    <t>7ty, 18mx</t>
  </si>
  <si>
    <t>6ty, 10mx</t>
  </si>
  <si>
    <t>13ty 23mx</t>
  </si>
  <si>
    <t>arrow $0.55, ti has tina design</t>
  </si>
  <si>
    <t>Has problem: TI #UCC27424/5 (Ron high); OnSemi #FAN73711 (hi delay); Infineon-2ED2181 (hi delay)</t>
  </si>
  <si>
    <t>350mx (bad)</t>
  </si>
  <si>
    <t>https://www.digikey.com/product-detail/en/infineon-technologies/1EDN7550BXTSA1/1EDN7550BXTSA1TR-ND/8627153</t>
  </si>
  <si>
    <t>https://webench.ti.com/power-designer/</t>
  </si>
  <si>
    <t>TI WebBench Simulator provides converter design, simulation and download TINA version</t>
  </si>
  <si>
    <t>TI product pages sometimes have TINA files, also TINA software sometimes has TI models</t>
  </si>
  <si>
    <t>ST</t>
  </si>
  <si>
    <t>ST eDesign Simulator provides converter design, simulation</t>
  </si>
  <si>
    <t>https://www.st.com/content/st_com/en/support/resources/edesign.html</t>
  </si>
  <si>
    <t>https://www.infineon.com/cms/en/tools/landing/ifxdesigner.html</t>
  </si>
  <si>
    <t>Infineon uses TINA cloud to simulate. To use this, type infineon part # into search field. Also, do FIND part within Tina to see Infineon parts. And you can go to infineon product page and sometimes see TINA simulation (e.g.  1EDN7550)</t>
  </si>
  <si>
    <t xml:space="preserve">Hi Side Charge Pump </t>
  </si>
  <si>
    <t>.8ty</t>
  </si>
  <si>
    <t>.3ty</t>
  </si>
  <si>
    <t>45ty 55mx</t>
  </si>
  <si>
    <t>6ty, 15mx</t>
  </si>
  <si>
    <t>IXDD609D2TR, IXYS</t>
  </si>
  <si>
    <t>DGD0215WT, diodes.com</t>
  </si>
  <si>
    <t>https://www.digikey.com/product-detail/en/infineon-technologies/1ED44175N01BXTSA1/448-1ED44175N01BXTSA1TR-ND/11487556</t>
  </si>
  <si>
    <t>1ED44175N01</t>
  </si>
  <si>
    <t>Low Side, 1ch, over current protection</t>
  </si>
  <si>
    <t>infineon has spice, arrow $0.33/6k, has over-current protection</t>
  </si>
  <si>
    <t>5ty</t>
  </si>
  <si>
    <t>50ty 75mx</t>
  </si>
  <si>
    <t>12.7 to 20</t>
  </si>
  <si>
    <t>2A/2A</t>
  </si>
  <si>
    <t>no spec (bad)</t>
  </si>
  <si>
    <t>no spice: Microchip #MIC4605; Infineon #2EDL05I06, #IRS442.., #1EDN751..; OnSemi #FL3100, #FAN3100, #FAN3227, FAN3229</t>
  </si>
  <si>
    <t>Sim Obs Lo LI to LO delay nSec</t>
  </si>
  <si>
    <t>Sim Obs Hi HI to HO delay nSec</t>
  </si>
  <si>
    <t xml:space="preserve">                  Turn ON</t>
  </si>
  <si>
    <t xml:space="preserve">             Turn OFF</t>
  </si>
  <si>
    <t>Gate Drv Testing, UCC27712 -  2xFet Switch, v6d.TSC</t>
  </si>
  <si>
    <t>Hi/Lo Mosfet Gate DELAY</t>
  </si>
  <si>
    <t>We look at the time from Digital Input to the START of where the LO/HI (Vgs) starts to move. This is DELAY, not rise/fall time (rise/fall is AFTER delay)</t>
  </si>
  <si>
    <t>Buck - UCC27524 - 1EDN7550 - LeakageTest, v7d.TSC</t>
  </si>
  <si>
    <t>UCC27524 Lo,    1EDN7550 Hi</t>
  </si>
  <si>
    <t>1edn7550 high side gate driver does not work well since 30K ohm burns 150mW each</t>
  </si>
  <si>
    <t xml:space="preserve">1edn7550 high side gate driver does not work well since 30K ohm burns 150mW each.  arrow $0.40, infineon product page has TINA spice, tina cloud has model: </t>
  </si>
  <si>
    <t>1EDN7550, crappy 30K 150mW rSeries</t>
  </si>
  <si>
    <t>0.5A/0.5A</t>
  </si>
  <si>
    <t>Hi Side Charge Pump, Vcc x 0.7 input</t>
  </si>
  <si>
    <t>L9856, crappy input and delay</t>
  </si>
  <si>
    <t>http://www.ti.com/power-management/gate-drivers/half-bridge-drivers/products.html#p3162max=100;620&amp;p2869max=15;66&amp;sort=p1130;asc</t>
  </si>
  <si>
    <t>Selection Table: Ti Half Bridge Drivers, interlock noted in last column, sorted by price</t>
  </si>
  <si>
    <t>2EDN7524F</t>
  </si>
  <si>
    <t>infineon has spice, arrow $0.59</t>
  </si>
  <si>
    <t>https://www.digikey.com/product-detail/en/infineon-technologies/2EDN7524FXTMA1/2EDN7524FXTMA1TR-ND/5959837</t>
  </si>
  <si>
    <t>1.2mx</t>
  </si>
  <si>
    <t>17ty 23mx</t>
  </si>
  <si>
    <t>5ty, 10mx</t>
  </si>
  <si>
    <t>200ty 300mx</t>
  </si>
  <si>
    <t>30ns match delay</t>
  </si>
  <si>
    <t>10mx (via math 0.2/0.02)</t>
  </si>
  <si>
    <t>5mx (via math 0.1/0.02)</t>
  </si>
  <si>
    <t>1.4A/1.3A</t>
  </si>
  <si>
    <t>3ty 4.5mx (via math 0.3/0.1, 0.45/0.1)</t>
  </si>
  <si>
    <t>4.5ty 7.5mx (via math 0.45/0.1, 0.75/0.1)</t>
  </si>
  <si>
    <t>27ty 56mx</t>
  </si>
  <si>
    <t>2 to 15ns match delay</t>
  </si>
  <si>
    <t>15ty</t>
  </si>
  <si>
    <t>arrow $0.85, ti.com says $0.70 -- YET NO SPICE !!! However, LM5104 has spice.</t>
  </si>
  <si>
    <t>LM5105</t>
  </si>
  <si>
    <t>LM5104</t>
  </si>
  <si>
    <t>arrow $1.13, ti.com says $0.97, we have TINA model !!!</t>
  </si>
  <si>
    <t>LM5106</t>
  </si>
  <si>
    <t>https://www.digikey.com/product-detail/en/texas-instruments/LM5106MMX-NOPB/296-44277-2-ND/1871878</t>
  </si>
  <si>
    <t>has spice, Arrow $0.69</t>
  </si>
  <si>
    <t>LM5102</t>
  </si>
  <si>
    <t>LM5101</t>
  </si>
  <si>
    <t>similar to Lm5107 yet programmable delay (no interlock), and NO spice</t>
  </si>
  <si>
    <t>similar to Lm5107 yet expensive, and NO spice</t>
  </si>
  <si>
    <t>similar to Lm5107 yet adaptive delay (has interlock) and HAS spice</t>
  </si>
  <si>
    <t>no interlock, 2004, No spice</t>
  </si>
  <si>
    <t>Gate Drv Testing, UCC27714 -  2xFet Switch, v7a.TSC</t>
  </si>
  <si>
    <t>Hi1 Rg On  (Ω)</t>
  </si>
  <si>
    <t>UCC27712, has interlock</t>
  </si>
  <si>
    <t>UCC27714, no interlock, arrow $1.13</t>
  </si>
  <si>
    <t>Lo1 Vgs at Hi1 turn On</t>
  </si>
  <si>
    <t>Hi1 Vgs at Lo1 turn On</t>
  </si>
  <si>
    <t>Hi nS/nS</t>
  </si>
  <si>
    <t>Lo nS/nS</t>
  </si>
  <si>
    <t>Hold Down nS/nS</t>
  </si>
  <si>
    <t>960/1040</t>
  </si>
  <si>
    <t>1130/1330</t>
  </si>
  <si>
    <t>930/1040</t>
  </si>
  <si>
    <t>Both Mosfets (Abs Watts)</t>
  </si>
  <si>
    <t>1110/1310</t>
  </si>
  <si>
    <t>Lo1 Rg Off  (Ω)</t>
  </si>
  <si>
    <t>Hi1 Rg Off  (Ω)</t>
  </si>
  <si>
    <t>1G</t>
  </si>
  <si>
    <t>1040/1960</t>
  </si>
  <si>
    <t>1040/1900</t>
  </si>
  <si>
    <t>Gate Drv Testing, UCC27714 -  2xFet Switch, v7b.TSC</t>
  </si>
  <si>
    <t>Gate driver IC has maximum output pulsed current (e.g. UCC27714 - 4 Amps) and Lo1/Hi1 mosfets last longer with less gate current, therefore, we would like to keep gate currents lower</t>
  </si>
  <si>
    <t>via RgOn and RgOff. However, this slows down Vgs rise/fall times. And this causes off Vgs to be a little higher when output (Vds) moves, which causes</t>
  </si>
  <si>
    <t>conduction (current) from PV power to GND thru Lo1 and Hi1 (Boths_Mosfets_Watts).  Adding delays between turning Lo1 off and Hi1 on (and visa versa) helps, yet this</t>
  </si>
  <si>
    <t>since we want to be able to turn on both Lo1 and Hi1 to measure Lo1/Hi1 Ro resistance.</t>
  </si>
  <si>
    <t>Hi / Lo Mosfet Power Loss due to Driving Capacitance across Drain and Source (i.e. Coss)</t>
  </si>
  <si>
    <t>External 16bit $2 A/D -- helpful on development platform for looking at accuracy of Xmc4200 processor measurements</t>
  </si>
  <si>
    <t>Also, we drive node between GA1 and GB1 with the current measurement sense voltage (e.g. 1.5V), to stop leakage from GB1 to Lo1 Gate.</t>
  </si>
  <si>
    <r>
      <t>Then, we have op amp with 1M</t>
    </r>
    <r>
      <rPr>
        <sz val="11"/>
        <color theme="1"/>
        <rFont val="Calibri"/>
        <family val="2"/>
      </rPr>
      <t>Ω sense resistor that measures Lo1 Gate leakage current.</t>
    </r>
  </si>
  <si>
    <t>We do not measure Hi1 Leakage current since it is harder to do and we can set Rg resistors at Hi1 to be higher than Lo1 to give it less stress (?).</t>
  </si>
  <si>
    <t>We have two switches (GA1, GB1) between gate driver and Lo1 Gate, which open when there is zero 14Vpwr and no PV power.</t>
  </si>
  <si>
    <t>When the sun is down and we are getting several Watts out of PV, we can short PV to ground via Hi1/Lo1 and measure currents and voltages.</t>
  </si>
  <si>
    <t>We can put charge on capacitors and then watch discharge rates via 100K bleed resistors.</t>
  </si>
  <si>
    <t>We can look at current flows over time into 100K Bleed resistor to measure Inductance.</t>
  </si>
  <si>
    <t>reduces conduction time and minimum ON time. Also, Gate Driver IC delays may not be stable over temperature. Simulator has HC08 gate between signal generator and gate driver, which adds delay (fyi).</t>
  </si>
  <si>
    <r>
      <t xml:space="preserve">There are lower cost Gate Driver IC's, yet they have issues with Maximum current (pulsed), maximum gate driver Rout, and delays. Also, we do </t>
    </r>
    <r>
      <rPr>
        <i/>
        <sz val="11"/>
        <color theme="1"/>
        <rFont val="Calibri"/>
        <family val="2"/>
        <scheme val="minor"/>
      </rPr>
      <t>not</t>
    </r>
    <r>
      <rPr>
        <sz val="11"/>
        <color theme="1"/>
        <rFont val="Calibri"/>
        <family val="2"/>
        <scheme val="minor"/>
      </rPr>
      <t xml:space="preserve"> want gate driver interlock </t>
    </r>
  </si>
  <si>
    <t>Driving Gates of Lo1/Hi1 Mosfets</t>
  </si>
  <si>
    <t>1.2A/1.8A</t>
  </si>
  <si>
    <t>1.8A</t>
  </si>
  <si>
    <t>similar to Lm5107, programmable delay (has interlock) and HAS spice</t>
  </si>
  <si>
    <t>arrow $0.97, has spice</t>
  </si>
  <si>
    <t>NCP81075, OnSemi</t>
  </si>
  <si>
    <t>NCP51530B, OnSemi</t>
  </si>
  <si>
    <t>continuous max curr (A)</t>
  </si>
  <si>
    <t>https://www.digikey.com/product-detail/en/diodes-incorporated/DMC3400SDW-13/DMC3400SDW-13DITR-ND/5223303</t>
  </si>
  <si>
    <t>DMC3400SDW</t>
  </si>
  <si>
    <t>MOSFET, 20 to 60Vds, +-20Vgs, Array w/ 1N and 1P, built in zener protection, logic turn on</t>
  </si>
  <si>
    <t>400 mΩ</t>
  </si>
  <si>
    <t>55pF</t>
  </si>
  <si>
    <r>
      <t xml:space="preserve"> +-</t>
    </r>
    <r>
      <rPr>
        <sz val="9"/>
        <color rgb="FFFF0000"/>
        <rFont val="Calibri Light"/>
        <family val="2"/>
      </rPr>
      <t>10</t>
    </r>
    <r>
      <rPr>
        <sz val="9"/>
        <color theme="1"/>
        <rFont val="Calibri Light"/>
        <family val="2"/>
      </rPr>
      <t xml:space="preserve"> uA max at 25C (Vgs = +-16V, Vds = 0V)</t>
    </r>
  </si>
  <si>
    <t>P/N Array, 6-TSSOP (s363), 30Vds, 20Vgs</t>
  </si>
  <si>
    <t>requested spice &gt;&gt;</t>
  </si>
  <si>
    <t>PVpwr On/Off</t>
  </si>
  <si>
    <t>Off (gnd)</t>
  </si>
  <si>
    <t>Clocks On/Off</t>
  </si>
  <si>
    <t>off</t>
  </si>
  <si>
    <t>ByPass MOSFET</t>
  </si>
  <si>
    <t>Measure Leakage Current at Lo1 Gate</t>
  </si>
  <si>
    <t>Sun is setting, several Watts from PV Power, turn on Lo1 and Hi1, move power through them, measure Lo1/Hi1 Ron Resistance</t>
  </si>
  <si>
    <t>Operation</t>
  </si>
  <si>
    <t>Normal Running</t>
  </si>
  <si>
    <t>PV power off, Bypass Mosfet Off</t>
  </si>
  <si>
    <t>PV power off, Bypass Mosfet On</t>
  </si>
  <si>
    <t>Diode Trr Qrr Reverse</t>
  </si>
  <si>
    <t>45nS, 68nC</t>
  </si>
  <si>
    <t>CSD19531Q5A</t>
  </si>
  <si>
    <t>6.4 mΩ</t>
  </si>
  <si>
    <t>3800pF @ 50V</t>
  </si>
  <si>
    <t>https://www.digikey.com/product-detail/en/texas-instruments/CSD19531Q5A/296-41232-2-ND/4437460</t>
  </si>
  <si>
    <t>37nC typ, 48nC mx 10Vgs</t>
  </si>
  <si>
    <t>148nS, 226nC</t>
  </si>
  <si>
    <t>CSD19533Q5A</t>
  </si>
  <si>
    <t>9.4 mΩ</t>
  </si>
  <si>
    <t>2700pF @ 50V</t>
  </si>
  <si>
    <t>https://www.digikey.com/product-detail/en/texas-instruments/CSD19533Q5A/296-37479-2-ND/4563530</t>
  </si>
  <si>
    <t>27nC typ, 35nC mx 10Vgs</t>
  </si>
  <si>
    <t>62nS, 163nC</t>
  </si>
  <si>
    <t>nC</t>
  </si>
  <si>
    <r>
      <t>ohms (</t>
    </r>
    <r>
      <rPr>
        <sz val="11"/>
        <color theme="1"/>
        <rFont val="Calibri"/>
        <family val="2"/>
      </rPr>
      <t>Ω)</t>
    </r>
  </si>
  <si>
    <t xml:space="preserve">Gate Driver Vdd Pwr </t>
  </si>
  <si>
    <t>Timing</t>
  </si>
  <si>
    <t>Basic Assumptions</t>
  </si>
  <si>
    <r>
      <t>MOSFET Drain To Source Ron Resistance (R</t>
    </r>
    <r>
      <rPr>
        <vertAlign val="subscript"/>
        <sz val="11"/>
        <color theme="1"/>
        <rFont val="Calibri"/>
        <family val="2"/>
        <scheme val="minor"/>
      </rPr>
      <t>on</t>
    </r>
    <r>
      <rPr>
        <sz val="11"/>
        <color theme="1"/>
        <rFont val="Calibri"/>
        <family val="2"/>
        <scheme val="minor"/>
      </rPr>
      <t xml:space="preserve"> Ω)</t>
    </r>
  </si>
  <si>
    <t xml:space="preserve">  Lo Mosfet</t>
  </si>
  <si>
    <t>Current thru FET when ON, Hi</t>
  </si>
  <si>
    <t>nS Time MOSFET is On, Hi</t>
  </si>
  <si>
    <t>% Time MOSFET is On, Hi</t>
  </si>
  <si>
    <t>Ideal Converter with 100% Efficiency</t>
  </si>
  <si>
    <t>Output Load Resistance</t>
  </si>
  <si>
    <t xml:space="preserve">    Lo Mosfet</t>
  </si>
  <si>
    <t>DMT10H009</t>
  </si>
  <si>
    <t>Continous current flows through MOSFET Ron and burns power (not during switching)</t>
  </si>
  <si>
    <t>Part #, Hi</t>
  </si>
  <si>
    <r>
      <t>Gate Charge (Q</t>
    </r>
    <r>
      <rPr>
        <vertAlign val="subscript"/>
        <sz val="11"/>
        <color theme="1"/>
        <rFont val="Calibri"/>
        <family val="2"/>
        <scheme val="minor"/>
      </rPr>
      <t>G</t>
    </r>
    <r>
      <rPr>
        <sz val="11"/>
        <color theme="1"/>
        <rFont val="Calibri"/>
        <family val="2"/>
        <scheme val="minor"/>
      </rPr>
      <t>), Hi</t>
    </r>
  </si>
  <si>
    <r>
      <t>D-to-S Charge (Q</t>
    </r>
    <r>
      <rPr>
        <vertAlign val="subscript"/>
        <sz val="11"/>
        <color theme="1"/>
        <rFont val="Calibri"/>
        <family val="2"/>
        <scheme val="minor"/>
      </rPr>
      <t>GS+</t>
    </r>
    <r>
      <rPr>
        <sz val="11"/>
        <color theme="1"/>
        <rFont val="Calibri"/>
        <family val="2"/>
        <scheme val="minor"/>
      </rPr>
      <t>Q</t>
    </r>
    <r>
      <rPr>
        <vertAlign val="subscript"/>
        <sz val="11"/>
        <color theme="1"/>
        <rFont val="Calibri"/>
        <family val="2"/>
        <scheme val="minor"/>
      </rPr>
      <t>GD</t>
    </r>
    <r>
      <rPr>
        <sz val="11"/>
        <color theme="1"/>
        <rFont val="Calibri"/>
        <family val="2"/>
        <scheme val="minor"/>
      </rPr>
      <t>), Hi</t>
    </r>
  </si>
  <si>
    <r>
      <t>Output Capacitance (C</t>
    </r>
    <r>
      <rPr>
        <vertAlign val="subscript"/>
        <sz val="11"/>
        <color theme="1"/>
        <rFont val="Calibri"/>
        <family val="2"/>
        <scheme val="minor"/>
      </rPr>
      <t>OSS</t>
    </r>
    <r>
      <rPr>
        <sz val="11"/>
        <color theme="1"/>
        <rFont val="Calibri"/>
        <family val="2"/>
        <scheme val="minor"/>
      </rPr>
      <t>), Hi</t>
    </r>
  </si>
  <si>
    <t>Load</t>
  </si>
  <si>
    <t>.3avg 1.2abs</t>
  </si>
  <si>
    <t>Pwr In (Vin*Iin), Approx</t>
  </si>
  <si>
    <t>Pwr Out (Vout*Iout), Exact</t>
  </si>
  <si>
    <t>Converter Load</t>
  </si>
  <si>
    <t>Time in Simulation</t>
  </si>
  <si>
    <t>Gate Rg</t>
  </si>
  <si>
    <t>Rg Hi On=3, Rg Hi On=0.1, Rg Lo On=3</t>
  </si>
  <si>
    <t>SwVolt Sim: Observed dV Volts</t>
  </si>
  <si>
    <t>SwVolt Sim: Observed dT nSec</t>
  </si>
  <si>
    <t>http://www.ti.com/lit/an/slva390a/slva390a.pdf</t>
  </si>
  <si>
    <r>
      <t>I</t>
    </r>
    <r>
      <rPr>
        <vertAlign val="subscript"/>
        <sz val="11"/>
        <color theme="1"/>
        <rFont val="Calibri"/>
        <family val="2"/>
        <scheme val="minor"/>
      </rPr>
      <t>Q1</t>
    </r>
  </si>
  <si>
    <r>
      <t>I</t>
    </r>
    <r>
      <rPr>
        <vertAlign val="subscript"/>
        <sz val="11"/>
        <color theme="1"/>
        <rFont val="Calibri"/>
        <family val="2"/>
        <scheme val="minor"/>
      </rPr>
      <t>Q2</t>
    </r>
  </si>
  <si>
    <r>
      <t>I</t>
    </r>
    <r>
      <rPr>
        <vertAlign val="subscript"/>
        <sz val="11"/>
        <color theme="1"/>
        <rFont val="Calibri"/>
        <family val="2"/>
        <scheme val="minor"/>
      </rPr>
      <t>O</t>
    </r>
    <r>
      <rPr>
        <sz val="11"/>
        <color theme="1"/>
        <rFont val="Calibri"/>
        <family val="2"/>
        <scheme val="minor"/>
      </rPr>
      <t xml:space="preserve"> = I</t>
    </r>
    <r>
      <rPr>
        <vertAlign val="subscript"/>
        <sz val="11"/>
        <color theme="1"/>
        <rFont val="Calibri"/>
        <family val="2"/>
        <scheme val="minor"/>
      </rPr>
      <t>OUT</t>
    </r>
  </si>
  <si>
    <t>RMS Inductor Current</t>
  </si>
  <si>
    <r>
      <t>I</t>
    </r>
    <r>
      <rPr>
        <vertAlign val="superscript"/>
        <sz val="11"/>
        <color theme="1"/>
        <rFont val="Calibri"/>
        <family val="2"/>
        <scheme val="minor"/>
      </rPr>
      <t>2</t>
    </r>
    <r>
      <rPr>
        <vertAlign val="subscript"/>
        <sz val="11"/>
        <color theme="1"/>
        <rFont val="Calibri"/>
        <family val="2"/>
        <scheme val="minor"/>
      </rPr>
      <t xml:space="preserve">RMS_L </t>
    </r>
    <r>
      <rPr>
        <sz val="11"/>
        <color theme="1"/>
        <rFont val="Calibri"/>
        <family val="2"/>
        <scheme val="minor"/>
      </rPr>
      <t>= I</t>
    </r>
    <r>
      <rPr>
        <vertAlign val="superscript"/>
        <sz val="11"/>
        <color theme="1"/>
        <rFont val="Calibri"/>
        <family val="2"/>
        <scheme val="minor"/>
      </rPr>
      <t>2</t>
    </r>
    <r>
      <rPr>
        <vertAlign val="subscript"/>
        <sz val="11"/>
        <color theme="1"/>
        <rFont val="Calibri"/>
        <family val="2"/>
        <scheme val="minor"/>
      </rPr>
      <t>O</t>
    </r>
    <r>
      <rPr>
        <sz val="11"/>
        <color theme="1"/>
        <rFont val="Calibri"/>
        <family val="2"/>
        <scheme val="minor"/>
      </rPr>
      <t xml:space="preserve"> + </t>
    </r>
    <r>
      <rPr>
        <sz val="11"/>
        <color theme="1"/>
        <rFont val="Calibri"/>
        <family val="2"/>
      </rPr>
      <t>Δ</t>
    </r>
    <r>
      <rPr>
        <sz val="11"/>
        <color theme="1"/>
        <rFont val="Calibri"/>
        <family val="2"/>
        <scheme val="minor"/>
      </rPr>
      <t>I</t>
    </r>
    <r>
      <rPr>
        <vertAlign val="superscript"/>
        <sz val="11"/>
        <color theme="1"/>
        <rFont val="Calibri"/>
        <family val="2"/>
        <scheme val="minor"/>
      </rPr>
      <t>2</t>
    </r>
    <r>
      <rPr>
        <sz val="11"/>
        <color theme="1"/>
        <rFont val="Calibri"/>
        <family val="2"/>
        <scheme val="minor"/>
      </rPr>
      <t>/12</t>
    </r>
  </si>
  <si>
    <r>
      <t>I</t>
    </r>
    <r>
      <rPr>
        <vertAlign val="subscript"/>
        <sz val="11"/>
        <color theme="1"/>
        <rFont val="Calibri"/>
        <family val="2"/>
        <scheme val="minor"/>
      </rPr>
      <t>RMS_L</t>
    </r>
  </si>
  <si>
    <r>
      <t>R</t>
    </r>
    <r>
      <rPr>
        <vertAlign val="subscript"/>
        <sz val="11"/>
        <color theme="1"/>
        <rFont val="Calibri"/>
        <family val="2"/>
        <scheme val="minor"/>
      </rPr>
      <t>DCR</t>
    </r>
  </si>
  <si>
    <r>
      <t>t</t>
    </r>
    <r>
      <rPr>
        <vertAlign val="subscript"/>
        <sz val="11"/>
        <color theme="1"/>
        <rFont val="Calibri"/>
        <family val="2"/>
        <scheme val="minor"/>
      </rPr>
      <t>r-L</t>
    </r>
  </si>
  <si>
    <r>
      <t>t</t>
    </r>
    <r>
      <rPr>
        <vertAlign val="subscript"/>
        <sz val="11"/>
        <color theme="1"/>
        <rFont val="Calibri"/>
        <family val="2"/>
        <scheme val="minor"/>
      </rPr>
      <t>f-L</t>
    </r>
  </si>
  <si>
    <r>
      <t>t</t>
    </r>
    <r>
      <rPr>
        <vertAlign val="subscript"/>
        <sz val="11"/>
        <color theme="1"/>
        <rFont val="Calibri"/>
        <family val="2"/>
        <scheme val="minor"/>
      </rPr>
      <t>r-H</t>
    </r>
  </si>
  <si>
    <r>
      <t>t</t>
    </r>
    <r>
      <rPr>
        <vertAlign val="subscript"/>
        <sz val="11"/>
        <color theme="1"/>
        <rFont val="Calibri"/>
        <family val="2"/>
        <scheme val="minor"/>
      </rPr>
      <t>f-H</t>
    </r>
  </si>
  <si>
    <t>Rohm Power Calculations</t>
  </si>
  <si>
    <r>
      <t>P</t>
    </r>
    <r>
      <rPr>
        <vertAlign val="subscript"/>
        <sz val="11"/>
        <color theme="1"/>
        <rFont val="Calibri"/>
        <family val="2"/>
        <scheme val="minor"/>
      </rPr>
      <t>SW-H</t>
    </r>
  </si>
  <si>
    <r>
      <t>R</t>
    </r>
    <r>
      <rPr>
        <vertAlign val="subscript"/>
        <sz val="11"/>
        <color theme="1"/>
        <rFont val="Calibri"/>
        <family val="2"/>
        <scheme val="minor"/>
      </rPr>
      <t>ON</t>
    </r>
    <r>
      <rPr>
        <sz val="11"/>
        <color theme="1"/>
        <rFont val="Calibri"/>
        <family val="2"/>
        <scheme val="minor"/>
      </rPr>
      <t>, Hi, Typical</t>
    </r>
  </si>
  <si>
    <r>
      <t>V</t>
    </r>
    <r>
      <rPr>
        <vertAlign val="subscript"/>
        <sz val="11"/>
        <color theme="1"/>
        <rFont val="Calibri"/>
        <family val="2"/>
        <scheme val="minor"/>
      </rPr>
      <t>SD</t>
    </r>
  </si>
  <si>
    <r>
      <t>P</t>
    </r>
    <r>
      <rPr>
        <vertAlign val="subscript"/>
        <sz val="11"/>
        <color theme="1"/>
        <rFont val="Calibri"/>
        <family val="2"/>
        <scheme val="minor"/>
      </rPr>
      <t>SW-L</t>
    </r>
  </si>
  <si>
    <t>Reverse Recovery Time</t>
  </si>
  <si>
    <t>Reverse Recovery Charge</t>
  </si>
  <si>
    <r>
      <t>t</t>
    </r>
    <r>
      <rPr>
        <vertAlign val="subscript"/>
        <sz val="11"/>
        <color theme="1"/>
        <rFont val="Calibri"/>
        <family val="2"/>
        <scheme val="minor"/>
      </rPr>
      <t>RR</t>
    </r>
  </si>
  <si>
    <r>
      <t>Q</t>
    </r>
    <r>
      <rPr>
        <vertAlign val="subscript"/>
        <sz val="11"/>
        <color theme="1"/>
        <rFont val="Calibri"/>
        <family val="2"/>
        <scheme val="minor"/>
      </rPr>
      <t>RR</t>
    </r>
  </si>
  <si>
    <t>Diode Reverse Recovery Loss</t>
  </si>
  <si>
    <r>
      <t>P</t>
    </r>
    <r>
      <rPr>
        <vertAlign val="subscript"/>
        <sz val="11"/>
        <color theme="1"/>
        <rFont val="Calibri"/>
        <family val="2"/>
        <scheme val="minor"/>
      </rPr>
      <t>DIODE</t>
    </r>
  </si>
  <si>
    <r>
      <t>R</t>
    </r>
    <r>
      <rPr>
        <vertAlign val="subscript"/>
        <sz val="11"/>
        <color theme="1"/>
        <rFont val="Calibri"/>
        <family val="2"/>
        <scheme val="minor"/>
      </rPr>
      <t>ON</t>
    </r>
    <r>
      <rPr>
        <sz val="11"/>
        <color theme="1"/>
        <rFont val="Calibri"/>
        <family val="2"/>
        <scheme val="minor"/>
      </rPr>
      <t xml:space="preserve"> Conduction Loss, Hi</t>
    </r>
  </si>
  <si>
    <r>
      <t>P</t>
    </r>
    <r>
      <rPr>
        <vertAlign val="subscript"/>
        <sz val="11"/>
        <color theme="1"/>
        <rFont val="Calibri"/>
        <family val="2"/>
        <scheme val="minor"/>
      </rPr>
      <t>ON-H</t>
    </r>
  </si>
  <si>
    <r>
      <t>P</t>
    </r>
    <r>
      <rPr>
        <vertAlign val="subscript"/>
        <sz val="11"/>
        <color theme="1"/>
        <rFont val="Calibri"/>
        <family val="2"/>
        <scheme val="minor"/>
      </rPr>
      <t>ON-L</t>
    </r>
  </si>
  <si>
    <r>
      <t>P</t>
    </r>
    <r>
      <rPr>
        <vertAlign val="subscript"/>
        <sz val="11"/>
        <color theme="1"/>
        <rFont val="Calibri"/>
        <family val="2"/>
        <scheme val="minor"/>
      </rPr>
      <t xml:space="preserve">ON-H </t>
    </r>
    <r>
      <rPr>
        <sz val="11"/>
        <color theme="1"/>
        <rFont val="Calibri"/>
        <family val="2"/>
        <scheme val="minor"/>
      </rPr>
      <t>= I</t>
    </r>
    <r>
      <rPr>
        <vertAlign val="subscript"/>
        <sz val="11"/>
        <color theme="1"/>
        <rFont val="Calibri"/>
        <family val="2"/>
        <scheme val="minor"/>
      </rPr>
      <t>OUT</t>
    </r>
    <r>
      <rPr>
        <vertAlign val="superscript"/>
        <sz val="11"/>
        <color theme="1"/>
        <rFont val="Calibri"/>
        <family val="2"/>
        <scheme val="minor"/>
      </rPr>
      <t>2</t>
    </r>
    <r>
      <rPr>
        <sz val="11"/>
        <color theme="1"/>
        <rFont val="Calibri"/>
        <family val="2"/>
        <scheme val="minor"/>
      </rPr>
      <t xml:space="preserve"> x R</t>
    </r>
    <r>
      <rPr>
        <vertAlign val="subscript"/>
        <sz val="11"/>
        <color theme="1"/>
        <rFont val="Calibri"/>
        <family val="2"/>
        <scheme val="minor"/>
      </rPr>
      <t>ON-H</t>
    </r>
    <r>
      <rPr>
        <sz val="11"/>
        <color theme="1"/>
        <rFont val="Calibri"/>
        <family val="2"/>
        <scheme val="minor"/>
      </rPr>
      <t xml:space="preserve"> x V</t>
    </r>
    <r>
      <rPr>
        <vertAlign val="subscript"/>
        <sz val="11"/>
        <color theme="1"/>
        <rFont val="Calibri"/>
        <family val="2"/>
        <scheme val="minor"/>
      </rPr>
      <t>out</t>
    </r>
    <r>
      <rPr>
        <sz val="11"/>
        <color theme="1"/>
        <rFont val="Calibri"/>
        <family val="2"/>
        <scheme val="minor"/>
      </rPr>
      <t xml:space="preserve"> / V</t>
    </r>
    <r>
      <rPr>
        <vertAlign val="subscript"/>
        <sz val="11"/>
        <color theme="1"/>
        <rFont val="Calibri"/>
        <family val="2"/>
        <scheme val="minor"/>
      </rPr>
      <t>in</t>
    </r>
  </si>
  <si>
    <r>
      <t>P</t>
    </r>
    <r>
      <rPr>
        <vertAlign val="subscript"/>
        <sz val="11"/>
        <color theme="1"/>
        <rFont val="Calibri"/>
        <family val="2"/>
        <scheme val="minor"/>
      </rPr>
      <t xml:space="preserve">ON-L </t>
    </r>
    <r>
      <rPr>
        <sz val="11"/>
        <color theme="1"/>
        <rFont val="Calibri"/>
        <family val="2"/>
        <scheme val="minor"/>
      </rPr>
      <t>= I</t>
    </r>
    <r>
      <rPr>
        <vertAlign val="subscript"/>
        <sz val="11"/>
        <color theme="1"/>
        <rFont val="Calibri"/>
        <family val="2"/>
        <scheme val="minor"/>
      </rPr>
      <t>OUT</t>
    </r>
    <r>
      <rPr>
        <vertAlign val="superscript"/>
        <sz val="11"/>
        <color theme="1"/>
        <rFont val="Calibri"/>
        <family val="2"/>
        <scheme val="minor"/>
      </rPr>
      <t>2</t>
    </r>
    <r>
      <rPr>
        <sz val="11"/>
        <color theme="1"/>
        <rFont val="Calibri"/>
        <family val="2"/>
        <scheme val="minor"/>
      </rPr>
      <t xml:space="preserve"> x R</t>
    </r>
    <r>
      <rPr>
        <vertAlign val="subscript"/>
        <sz val="11"/>
        <color theme="1"/>
        <rFont val="Calibri"/>
        <family val="2"/>
        <scheme val="minor"/>
      </rPr>
      <t>ON-L</t>
    </r>
    <r>
      <rPr>
        <sz val="11"/>
        <color theme="1"/>
        <rFont val="Calibri"/>
        <family val="2"/>
        <scheme val="minor"/>
      </rPr>
      <t xml:space="preserve"> x (1 - V</t>
    </r>
    <r>
      <rPr>
        <vertAlign val="subscript"/>
        <sz val="11"/>
        <color theme="1"/>
        <rFont val="Calibri"/>
        <family val="2"/>
        <scheme val="minor"/>
      </rPr>
      <t>out</t>
    </r>
    <r>
      <rPr>
        <sz val="11"/>
        <color theme="1"/>
        <rFont val="Calibri"/>
        <family val="2"/>
        <scheme val="minor"/>
      </rPr>
      <t xml:space="preserve"> / V</t>
    </r>
    <r>
      <rPr>
        <vertAlign val="subscript"/>
        <sz val="11"/>
        <color theme="1"/>
        <rFont val="Calibri"/>
        <family val="2"/>
        <scheme val="minor"/>
      </rPr>
      <t>in</t>
    </r>
    <r>
      <rPr>
        <sz val="11"/>
        <color theme="1"/>
        <rFont val="Calibri"/>
        <family val="2"/>
        <scheme val="minor"/>
      </rPr>
      <t>)</t>
    </r>
  </si>
  <si>
    <t>Switching Loss, Hi+Lo</t>
  </si>
  <si>
    <t>Switching Loss, Lo Diode</t>
  </si>
  <si>
    <r>
      <t>I</t>
    </r>
    <r>
      <rPr>
        <vertAlign val="subscript"/>
        <sz val="11"/>
        <color theme="1"/>
        <rFont val="Calibri"/>
        <family val="2"/>
        <scheme val="minor"/>
      </rPr>
      <t>RR</t>
    </r>
  </si>
  <si>
    <r>
      <t>P</t>
    </r>
    <r>
      <rPr>
        <vertAlign val="subscript"/>
        <sz val="11"/>
        <color theme="1"/>
        <rFont val="Calibri"/>
        <family val="2"/>
        <scheme val="minor"/>
      </rPr>
      <t xml:space="preserve">DIODE </t>
    </r>
    <r>
      <rPr>
        <sz val="11"/>
        <color theme="1"/>
        <rFont val="Calibri"/>
        <family val="2"/>
        <scheme val="minor"/>
      </rPr>
      <t>= 0.5 x V</t>
    </r>
    <r>
      <rPr>
        <vertAlign val="subscript"/>
        <sz val="11"/>
        <color theme="1"/>
        <rFont val="Calibri"/>
        <family val="2"/>
        <scheme val="minor"/>
      </rPr>
      <t>IN</t>
    </r>
    <r>
      <rPr>
        <sz val="11"/>
        <color theme="1"/>
        <rFont val="Calibri"/>
        <family val="2"/>
        <scheme val="minor"/>
      </rPr>
      <t xml:space="preserve"> x I</t>
    </r>
    <r>
      <rPr>
        <vertAlign val="subscript"/>
        <sz val="11"/>
        <color theme="1"/>
        <rFont val="Calibri"/>
        <family val="2"/>
        <scheme val="minor"/>
      </rPr>
      <t>RR</t>
    </r>
    <r>
      <rPr>
        <sz val="11"/>
        <color theme="1"/>
        <rFont val="Calibri"/>
        <family val="2"/>
        <scheme val="minor"/>
      </rPr>
      <t xml:space="preserve"> x t</t>
    </r>
    <r>
      <rPr>
        <vertAlign val="subscript"/>
        <sz val="11"/>
        <color theme="1"/>
        <rFont val="Calibri"/>
        <family val="2"/>
        <scheme val="minor"/>
      </rPr>
      <t>RR</t>
    </r>
    <r>
      <rPr>
        <sz val="11"/>
        <color theme="1"/>
        <rFont val="Calibri"/>
        <family val="2"/>
        <scheme val="minor"/>
      </rPr>
      <t xml:space="preserve"> / ClkPeriod</t>
    </r>
  </si>
  <si>
    <t>MOSFET Parameters (from datasheet)</t>
  </si>
  <si>
    <r>
      <t>V</t>
    </r>
    <r>
      <rPr>
        <vertAlign val="subscript"/>
        <sz val="11"/>
        <color theme="1"/>
        <rFont val="Calibri"/>
        <family val="2"/>
        <scheme val="minor"/>
      </rPr>
      <t>SW</t>
    </r>
    <r>
      <rPr>
        <sz val="11"/>
        <color theme="1"/>
        <rFont val="Calibri"/>
        <family val="2"/>
        <scheme val="minor"/>
      </rPr>
      <t>, Rising</t>
    </r>
  </si>
  <si>
    <r>
      <t>V</t>
    </r>
    <r>
      <rPr>
        <vertAlign val="subscript"/>
        <sz val="11"/>
        <color theme="1"/>
        <rFont val="Calibri"/>
        <family val="2"/>
        <scheme val="minor"/>
      </rPr>
      <t>SW</t>
    </r>
    <r>
      <rPr>
        <sz val="11"/>
        <color theme="1"/>
        <rFont val="Calibri"/>
        <family val="2"/>
        <scheme val="minor"/>
      </rPr>
      <t>, Falling</t>
    </r>
  </si>
  <si>
    <r>
      <t>V</t>
    </r>
    <r>
      <rPr>
        <vertAlign val="subscript"/>
        <sz val="11"/>
        <color theme="1"/>
        <rFont val="Calibri"/>
        <family val="2"/>
        <scheme val="minor"/>
      </rPr>
      <t>SW</t>
    </r>
    <r>
      <rPr>
        <sz val="11"/>
        <color theme="1"/>
        <rFont val="Calibri"/>
        <family val="2"/>
        <scheme val="minor"/>
      </rPr>
      <t>, Rise after Diode Recovery</t>
    </r>
  </si>
  <si>
    <r>
      <t>V</t>
    </r>
    <r>
      <rPr>
        <vertAlign val="subscript"/>
        <sz val="11"/>
        <color theme="1"/>
        <rFont val="Calibri"/>
        <family val="2"/>
        <scheme val="minor"/>
      </rPr>
      <t>SW</t>
    </r>
    <r>
      <rPr>
        <sz val="11"/>
        <color theme="1"/>
        <rFont val="Calibri"/>
        <family val="2"/>
        <scheme val="minor"/>
      </rPr>
      <t>, Fall Before Diode</t>
    </r>
  </si>
  <si>
    <r>
      <t>t</t>
    </r>
    <r>
      <rPr>
        <vertAlign val="subscript"/>
        <sz val="11"/>
        <color theme="1"/>
        <rFont val="Calibri"/>
        <family val="2"/>
        <scheme val="minor"/>
      </rPr>
      <t>Dr</t>
    </r>
  </si>
  <si>
    <r>
      <t>t</t>
    </r>
    <r>
      <rPr>
        <vertAlign val="subscript"/>
        <sz val="11"/>
        <color theme="1"/>
        <rFont val="Calibri"/>
        <family val="2"/>
        <scheme val="minor"/>
      </rPr>
      <t>Df</t>
    </r>
  </si>
  <si>
    <r>
      <t>V</t>
    </r>
    <r>
      <rPr>
        <vertAlign val="subscript"/>
        <sz val="11"/>
        <color theme="1"/>
        <rFont val="Calibri"/>
        <family val="2"/>
        <scheme val="minor"/>
      </rPr>
      <t>SW</t>
    </r>
    <r>
      <rPr>
        <sz val="11"/>
        <color theme="1"/>
        <rFont val="Calibri"/>
        <family val="2"/>
        <scheme val="minor"/>
      </rPr>
      <t xml:space="preserve"> Falling, Deadtime</t>
    </r>
  </si>
  <si>
    <r>
      <t>V</t>
    </r>
    <r>
      <rPr>
        <vertAlign val="subscript"/>
        <sz val="11"/>
        <color theme="1"/>
        <rFont val="Calibri"/>
        <family val="2"/>
        <scheme val="minor"/>
      </rPr>
      <t>SW</t>
    </r>
    <r>
      <rPr>
        <sz val="11"/>
        <color theme="1"/>
        <rFont val="Calibri"/>
        <family val="2"/>
        <scheme val="minor"/>
      </rPr>
      <t xml:space="preserve"> Rising, Deadtime</t>
    </r>
  </si>
  <si>
    <t>Clock Period nSec</t>
  </si>
  <si>
    <t>Loss Watts</t>
  </si>
  <si>
    <t>Watts Hi</t>
  </si>
  <si>
    <t>Simulator Time Slice</t>
  </si>
  <si>
    <t>496.2/498.2</t>
  </si>
  <si>
    <r>
      <t>10K</t>
    </r>
    <r>
      <rPr>
        <sz val="9"/>
        <color theme="0" tint="-0.249977111117893"/>
        <rFont val="Calibri"/>
        <family val="2"/>
      </rPr>
      <t>Ω</t>
    </r>
    <r>
      <rPr>
        <sz val="9"/>
        <color theme="0" tint="-0.249977111117893"/>
        <rFont val="Calibri Light"/>
        <family val="2"/>
      </rPr>
      <t xml:space="preserve"> to 25V</t>
    </r>
  </si>
  <si>
    <r>
      <t>14uH, 1.45</t>
    </r>
    <r>
      <rPr>
        <sz val="9"/>
        <color theme="0" tint="-0.249977111117893"/>
        <rFont val="Calibri"/>
        <family val="2"/>
      </rPr>
      <t>Ω</t>
    </r>
    <r>
      <rPr>
        <sz val="9"/>
        <color theme="0" tint="-0.249977111117893"/>
        <rFont val="Calibri Light"/>
        <family val="2"/>
      </rPr>
      <t>, 20.5V out, 270W load</t>
    </r>
  </si>
  <si>
    <r>
      <t xml:space="preserve">Rg hi </t>
    </r>
    <r>
      <rPr>
        <sz val="9"/>
        <color theme="0" tint="-0.249977111117893"/>
        <rFont val="Calibri"/>
        <family val="2"/>
      </rPr>
      <t>(Ω)</t>
    </r>
  </si>
  <si>
    <t>Watts Lo1 Abs</t>
  </si>
  <si>
    <t>1010 /1310</t>
  </si>
  <si>
    <t>20 / 980</t>
  </si>
  <si>
    <t>1025 / 1980</t>
  </si>
  <si>
    <t>Gate Drv Testing, UCC27282 -  2xFet Switch, v8g.TSC</t>
  </si>
  <si>
    <t>0.9avg 1.73abs</t>
  </si>
  <si>
    <t>Out Volts</t>
  </si>
  <si>
    <t>Vdd Power GateDvrIc Volts</t>
  </si>
  <si>
    <t>Hi1 Rg On   (Ω)</t>
  </si>
  <si>
    <r>
      <t>1.5</t>
    </r>
    <r>
      <rPr>
        <sz val="9"/>
        <color theme="1"/>
        <rFont val="Calibri"/>
        <family val="2"/>
      </rPr>
      <t>Ω</t>
    </r>
    <r>
      <rPr>
        <sz val="9"/>
        <color theme="1"/>
        <rFont val="Calibri Light"/>
        <family val="2"/>
      </rPr>
      <t>, 20.5Vout, 270W, 14uH</t>
    </r>
  </si>
  <si>
    <t>48V, input filter</t>
  </si>
  <si>
    <t>48V, NO input filter, circuit sometimes pushes power into voltage source (negative current)</t>
  </si>
  <si>
    <t>Gate Drv Testing, UCC27282 -  2xFet Switch, v9a.TSC</t>
  </si>
  <si>
    <r>
      <t>5</t>
    </r>
    <r>
      <rPr>
        <sz val="9"/>
        <color theme="1"/>
        <rFont val="Calibri"/>
        <family val="2"/>
      </rPr>
      <t>Ω</t>
    </r>
    <r>
      <rPr>
        <sz val="9"/>
        <color theme="1"/>
        <rFont val="Calibri Light"/>
        <family val="2"/>
      </rPr>
      <t>, 39Vout, 7.8A, 300W, 14uH</t>
    </r>
  </si>
  <si>
    <t>1025 / 5980</t>
  </si>
  <si>
    <t>PV Module (W)</t>
  </si>
  <si>
    <t>Filter Input (W)</t>
  </si>
  <si>
    <t>DcDc Input (W)</t>
  </si>
  <si>
    <t>Loss Input Filter (W)</t>
  </si>
  <si>
    <t>Vdd Pwr (e.g. 14V) (W)</t>
  </si>
  <si>
    <t>Cable PV Module Loss (W)</t>
  </si>
  <si>
    <t>Total Pwr Input (w/o PV Cable)</t>
  </si>
  <si>
    <t>LOAD DcDc Output (W)</t>
  </si>
  <si>
    <t>1200 /2400u</t>
  </si>
  <si>
    <t>Filter Input Pwr varies 7W in 20uSec !!!</t>
  </si>
  <si>
    <r>
      <t>P</t>
    </r>
    <r>
      <rPr>
        <vertAlign val="subscript"/>
        <sz val="11"/>
        <color theme="1"/>
        <rFont val="Calibri"/>
        <family val="2"/>
        <scheme val="minor"/>
      </rPr>
      <t xml:space="preserve">SW-H </t>
    </r>
    <r>
      <rPr>
        <sz val="11"/>
        <color theme="1"/>
        <rFont val="Calibri"/>
        <family val="2"/>
        <scheme val="minor"/>
      </rPr>
      <t>= 0.5 x V</t>
    </r>
    <r>
      <rPr>
        <vertAlign val="subscript"/>
        <sz val="11"/>
        <color theme="1"/>
        <rFont val="Calibri"/>
        <family val="2"/>
        <scheme val="minor"/>
      </rPr>
      <t>in</t>
    </r>
    <r>
      <rPr>
        <sz val="11"/>
        <color theme="1"/>
        <rFont val="Calibri"/>
        <family val="2"/>
        <scheme val="minor"/>
      </rPr>
      <t xml:space="preserve"> x I</t>
    </r>
    <r>
      <rPr>
        <vertAlign val="subscript"/>
        <sz val="11"/>
        <color theme="1"/>
        <rFont val="Calibri"/>
        <family val="2"/>
        <scheme val="minor"/>
      </rPr>
      <t>out</t>
    </r>
    <r>
      <rPr>
        <sz val="11"/>
        <color theme="1"/>
        <rFont val="Calibri"/>
        <family val="2"/>
        <scheme val="minor"/>
      </rPr>
      <t xml:space="preserve"> x (t</t>
    </r>
    <r>
      <rPr>
        <vertAlign val="subscript"/>
        <sz val="11"/>
        <color theme="1"/>
        <rFont val="Calibri"/>
        <family val="2"/>
        <scheme val="minor"/>
      </rPr>
      <t>r-H</t>
    </r>
    <r>
      <rPr>
        <sz val="11"/>
        <color theme="1"/>
        <rFont val="Calibri"/>
        <family val="2"/>
        <scheme val="minor"/>
      </rPr>
      <t xml:space="preserve"> + t</t>
    </r>
    <r>
      <rPr>
        <vertAlign val="subscript"/>
        <sz val="11"/>
        <color theme="1"/>
        <rFont val="Calibri"/>
        <family val="2"/>
        <scheme val="minor"/>
      </rPr>
      <t>f-H</t>
    </r>
    <r>
      <rPr>
        <sz val="11"/>
        <color theme="1"/>
        <rFont val="Calibri"/>
        <family val="2"/>
        <scheme val="minor"/>
      </rPr>
      <t>) / ClkPeriod;  Loss thru Hi MOSFET when SwVolts Rises or Falls</t>
    </r>
  </si>
  <si>
    <r>
      <t>P</t>
    </r>
    <r>
      <rPr>
        <vertAlign val="subscript"/>
        <sz val="11"/>
        <color theme="1"/>
        <rFont val="Calibri"/>
        <family val="2"/>
        <scheme val="minor"/>
      </rPr>
      <t xml:space="preserve">SW-L </t>
    </r>
    <r>
      <rPr>
        <sz val="11"/>
        <color theme="1"/>
        <rFont val="Calibri"/>
        <family val="2"/>
        <scheme val="minor"/>
      </rPr>
      <t>= 0.5 x V</t>
    </r>
    <r>
      <rPr>
        <vertAlign val="subscript"/>
        <sz val="11"/>
        <color theme="1"/>
        <rFont val="Calibri"/>
        <family val="2"/>
        <scheme val="minor"/>
      </rPr>
      <t>SD</t>
    </r>
    <r>
      <rPr>
        <sz val="11"/>
        <color theme="1"/>
        <rFont val="Calibri"/>
        <family val="2"/>
        <scheme val="minor"/>
      </rPr>
      <t xml:space="preserve"> x I</t>
    </r>
    <r>
      <rPr>
        <vertAlign val="subscript"/>
        <sz val="11"/>
        <color theme="1"/>
        <rFont val="Calibri"/>
        <family val="2"/>
        <scheme val="minor"/>
      </rPr>
      <t>out</t>
    </r>
    <r>
      <rPr>
        <sz val="11"/>
        <color theme="1"/>
        <rFont val="Calibri"/>
        <family val="2"/>
        <scheme val="minor"/>
      </rPr>
      <t xml:space="preserve"> x (t</t>
    </r>
    <r>
      <rPr>
        <vertAlign val="subscript"/>
        <sz val="11"/>
        <color theme="1"/>
        <rFont val="Calibri"/>
        <family val="2"/>
        <scheme val="minor"/>
      </rPr>
      <t>r-L</t>
    </r>
    <r>
      <rPr>
        <sz val="11"/>
        <color theme="1"/>
        <rFont val="Calibri"/>
        <family val="2"/>
        <scheme val="minor"/>
      </rPr>
      <t xml:space="preserve"> + t</t>
    </r>
    <r>
      <rPr>
        <vertAlign val="subscript"/>
        <sz val="11"/>
        <color theme="1"/>
        <rFont val="Calibri"/>
        <family val="2"/>
        <scheme val="minor"/>
      </rPr>
      <t>f-L</t>
    </r>
    <r>
      <rPr>
        <sz val="11"/>
        <color theme="1"/>
        <rFont val="Calibri"/>
        <family val="2"/>
        <scheme val="minor"/>
      </rPr>
      <t>) / ClkPeriod;  Loss thru MOSFET Lo Diode when SwVolts is Low</t>
    </r>
  </si>
  <si>
    <r>
      <t>14uH, 5</t>
    </r>
    <r>
      <rPr>
        <sz val="9"/>
        <color theme="1"/>
        <rFont val="Calibri"/>
        <family val="2"/>
      </rPr>
      <t>Ω</t>
    </r>
    <r>
      <rPr>
        <sz val="9"/>
        <color theme="1"/>
        <rFont val="Calibri Light"/>
        <family val="2"/>
      </rPr>
      <t>, 39.1V out</t>
    </r>
  </si>
  <si>
    <t>2m / 2.12m</t>
  </si>
  <si>
    <t>Watts Main Inductor DCR</t>
  </si>
  <si>
    <t>Output mVpp Ripple</t>
  </si>
  <si>
    <t>Gate Drv Testing, UCC27282 -  2xFet Switch, v9b.TSC</t>
  </si>
  <si>
    <r>
      <t>T</t>
    </r>
    <r>
      <rPr>
        <vertAlign val="subscript"/>
        <sz val="11"/>
        <color theme="1"/>
        <rFont val="Calibri"/>
        <family val="2"/>
        <scheme val="minor"/>
      </rPr>
      <t>ON</t>
    </r>
  </si>
  <si>
    <r>
      <t>T</t>
    </r>
    <r>
      <rPr>
        <vertAlign val="subscript"/>
        <sz val="11"/>
        <color theme="1"/>
        <rFont val="Calibri"/>
        <family val="2"/>
        <scheme val="minor"/>
      </rPr>
      <t>OFF</t>
    </r>
  </si>
  <si>
    <t>I am not sure if I am calculating this correctly !?</t>
  </si>
  <si>
    <t>time for diode to recover from being in forward direction (i.e. 0.6V), depends on current</t>
  </si>
  <si>
    <t>Reverse Recovery Amps, Calculated</t>
  </si>
  <si>
    <t>amount of current that you use to push from 0.6V forward state to reverse state, charge = current x time;   Amps = charge / time</t>
  </si>
  <si>
    <r>
      <t>P</t>
    </r>
    <r>
      <rPr>
        <vertAlign val="subscript"/>
        <sz val="11"/>
        <color theme="1"/>
        <rFont val="Calibri"/>
        <family val="2"/>
        <scheme val="minor"/>
      </rPr>
      <t>COSS</t>
    </r>
  </si>
  <si>
    <t>Dead time loss</t>
  </si>
  <si>
    <r>
      <t>P</t>
    </r>
    <r>
      <rPr>
        <vertAlign val="subscript"/>
        <sz val="11"/>
        <color theme="1"/>
        <rFont val="Calibri"/>
        <family val="2"/>
        <scheme val="minor"/>
      </rPr>
      <t>DEADTIME</t>
    </r>
  </si>
  <si>
    <r>
      <t>P</t>
    </r>
    <r>
      <rPr>
        <vertAlign val="subscript"/>
        <sz val="11"/>
        <color theme="1"/>
        <rFont val="Calibri"/>
        <family val="2"/>
        <scheme val="minor"/>
      </rPr>
      <t xml:space="preserve">DEADTIME </t>
    </r>
    <r>
      <rPr>
        <sz val="11"/>
        <color theme="1"/>
        <rFont val="Calibri"/>
        <family val="2"/>
        <scheme val="minor"/>
      </rPr>
      <t>= V</t>
    </r>
    <r>
      <rPr>
        <vertAlign val="subscript"/>
        <sz val="11"/>
        <color theme="1"/>
        <rFont val="Calibri"/>
        <family val="2"/>
        <scheme val="minor"/>
      </rPr>
      <t>SD</t>
    </r>
    <r>
      <rPr>
        <sz val="11"/>
        <color theme="1"/>
        <rFont val="Calibri"/>
        <family val="2"/>
        <scheme val="minor"/>
      </rPr>
      <t xml:space="preserve"> x I</t>
    </r>
    <r>
      <rPr>
        <vertAlign val="subscript"/>
        <sz val="11"/>
        <color theme="1"/>
        <rFont val="Calibri"/>
        <family val="2"/>
        <scheme val="minor"/>
      </rPr>
      <t>OUT</t>
    </r>
    <r>
      <rPr>
        <sz val="11"/>
        <color theme="1"/>
        <rFont val="Calibri"/>
        <family val="2"/>
        <scheme val="minor"/>
      </rPr>
      <t xml:space="preserve"> x (t</t>
    </r>
    <r>
      <rPr>
        <vertAlign val="subscript"/>
        <sz val="11"/>
        <color theme="1"/>
        <rFont val="Calibri"/>
        <family val="2"/>
        <scheme val="minor"/>
      </rPr>
      <t>Dr</t>
    </r>
    <r>
      <rPr>
        <sz val="11"/>
        <color theme="1"/>
        <rFont val="Calibri"/>
        <family val="2"/>
        <scheme val="minor"/>
      </rPr>
      <t xml:space="preserve"> + t</t>
    </r>
    <r>
      <rPr>
        <vertAlign val="subscript"/>
        <sz val="11"/>
        <color theme="1"/>
        <rFont val="Calibri"/>
        <family val="2"/>
        <scheme val="minor"/>
      </rPr>
      <t>Df</t>
    </r>
    <r>
      <rPr>
        <sz val="11"/>
        <color theme="1"/>
        <rFont val="Calibri"/>
        <family val="2"/>
        <scheme val="minor"/>
      </rPr>
      <t>) / ClkPeriod;  We burn power in Lo Fet diodes during tDr + tDf, while both Hi and Lo Mosfets are both off (deadtime)</t>
    </r>
  </si>
  <si>
    <r>
      <t>P</t>
    </r>
    <r>
      <rPr>
        <vertAlign val="subscript"/>
        <sz val="11"/>
        <color theme="1"/>
        <rFont val="Calibri"/>
        <family val="2"/>
        <scheme val="minor"/>
      </rPr>
      <t>L-DCR</t>
    </r>
  </si>
  <si>
    <t>Cin ESR Resistance</t>
  </si>
  <si>
    <t>Cout ESR Resistance</t>
  </si>
  <si>
    <r>
      <t>C</t>
    </r>
    <r>
      <rPr>
        <vertAlign val="subscript"/>
        <sz val="11"/>
        <color theme="1"/>
        <rFont val="Calibri"/>
        <family val="2"/>
        <scheme val="minor"/>
      </rPr>
      <t>IN-ESR</t>
    </r>
  </si>
  <si>
    <r>
      <t>C</t>
    </r>
    <r>
      <rPr>
        <vertAlign val="subscript"/>
        <sz val="11"/>
        <color theme="1"/>
        <rFont val="Calibri"/>
        <family val="2"/>
        <scheme val="minor"/>
      </rPr>
      <t>OUT-ESR</t>
    </r>
  </si>
  <si>
    <t>Inductor and Capacitor Calculations</t>
  </si>
  <si>
    <r>
      <t>C</t>
    </r>
    <r>
      <rPr>
        <vertAlign val="subscript"/>
        <sz val="11"/>
        <color theme="1"/>
        <rFont val="Calibri"/>
        <family val="2"/>
        <scheme val="minor"/>
      </rPr>
      <t>IN</t>
    </r>
    <r>
      <rPr>
        <sz val="11"/>
        <color theme="1"/>
        <rFont val="Calibri"/>
        <family val="2"/>
        <scheme val="minor"/>
      </rPr>
      <t xml:space="preserve"> Capacitor RMS Current</t>
    </r>
  </si>
  <si>
    <r>
      <t>C</t>
    </r>
    <r>
      <rPr>
        <vertAlign val="subscript"/>
        <sz val="11"/>
        <color theme="1"/>
        <rFont val="Calibri"/>
        <family val="2"/>
        <scheme val="minor"/>
      </rPr>
      <t>OUT</t>
    </r>
    <r>
      <rPr>
        <sz val="11"/>
        <color theme="1"/>
        <rFont val="Calibri"/>
        <family val="2"/>
        <scheme val="minor"/>
      </rPr>
      <t xml:space="preserve"> Capacitor RMS Current</t>
    </r>
  </si>
  <si>
    <r>
      <t>I</t>
    </r>
    <r>
      <rPr>
        <vertAlign val="subscript"/>
        <sz val="11"/>
        <color theme="1"/>
        <rFont val="Calibri"/>
        <family val="2"/>
        <scheme val="minor"/>
      </rPr>
      <t>Cout-RMS</t>
    </r>
  </si>
  <si>
    <r>
      <t>I</t>
    </r>
    <r>
      <rPr>
        <vertAlign val="subscript"/>
        <sz val="11"/>
        <color theme="1"/>
        <rFont val="Calibri"/>
        <family val="2"/>
        <scheme val="minor"/>
      </rPr>
      <t>Cin-RMS</t>
    </r>
  </si>
  <si>
    <r>
      <t>I</t>
    </r>
    <r>
      <rPr>
        <vertAlign val="subscript"/>
        <sz val="11"/>
        <color theme="1"/>
        <rFont val="Calibri"/>
        <family val="2"/>
        <scheme val="minor"/>
      </rPr>
      <t>Cin-RMS</t>
    </r>
    <r>
      <rPr>
        <sz val="11"/>
        <color theme="1"/>
        <rFont val="Calibri"/>
        <family val="2"/>
        <scheme val="minor"/>
      </rPr>
      <t xml:space="preserve"> = I</t>
    </r>
    <r>
      <rPr>
        <vertAlign val="subscript"/>
        <sz val="11"/>
        <color theme="1"/>
        <rFont val="Calibri"/>
        <family val="2"/>
        <scheme val="minor"/>
      </rPr>
      <t>OUT</t>
    </r>
    <r>
      <rPr>
        <sz val="11"/>
        <color theme="1"/>
        <rFont val="Calibri"/>
        <family val="2"/>
        <scheme val="minor"/>
      </rPr>
      <t xml:space="preserve"> x Sqrt((V</t>
    </r>
    <r>
      <rPr>
        <vertAlign val="subscript"/>
        <sz val="11"/>
        <color theme="1"/>
        <rFont val="Calibri"/>
        <family val="2"/>
        <scheme val="minor"/>
      </rPr>
      <t>IN</t>
    </r>
    <r>
      <rPr>
        <sz val="11"/>
        <color theme="1"/>
        <rFont val="Calibri"/>
        <family val="2"/>
        <scheme val="minor"/>
      </rPr>
      <t>-V</t>
    </r>
    <r>
      <rPr>
        <vertAlign val="subscript"/>
        <sz val="11"/>
        <color theme="1"/>
        <rFont val="Calibri"/>
        <family val="2"/>
        <scheme val="minor"/>
      </rPr>
      <t>OUT</t>
    </r>
    <r>
      <rPr>
        <sz val="11"/>
        <color theme="1"/>
        <rFont val="Calibri"/>
        <family val="2"/>
        <scheme val="minor"/>
      </rPr>
      <t>) x V</t>
    </r>
    <r>
      <rPr>
        <vertAlign val="subscript"/>
        <sz val="11"/>
        <color theme="1"/>
        <rFont val="Calibri"/>
        <family val="2"/>
        <scheme val="minor"/>
      </rPr>
      <t>OUT</t>
    </r>
    <r>
      <rPr>
        <sz val="11"/>
        <color theme="1"/>
        <rFont val="Calibri"/>
        <family val="2"/>
        <scheme val="minor"/>
      </rPr>
      <t>) / V</t>
    </r>
    <r>
      <rPr>
        <vertAlign val="subscript"/>
        <sz val="11"/>
        <color theme="1"/>
        <rFont val="Calibri"/>
        <family val="2"/>
        <scheme val="minor"/>
      </rPr>
      <t>IN</t>
    </r>
  </si>
  <si>
    <r>
      <t>I</t>
    </r>
    <r>
      <rPr>
        <vertAlign val="subscript"/>
        <sz val="11"/>
        <color theme="1"/>
        <rFont val="Calibri"/>
        <family val="2"/>
        <scheme val="minor"/>
      </rPr>
      <t>Cout-RMS</t>
    </r>
    <r>
      <rPr>
        <sz val="11"/>
        <color theme="1"/>
        <rFont val="Calibri"/>
        <family val="2"/>
        <scheme val="minor"/>
      </rPr>
      <t xml:space="preserve"> = ΔI</t>
    </r>
    <r>
      <rPr>
        <vertAlign val="subscript"/>
        <sz val="11"/>
        <color theme="1"/>
        <rFont val="Calibri"/>
        <family val="2"/>
        <scheme val="minor"/>
      </rPr>
      <t>L</t>
    </r>
    <r>
      <rPr>
        <sz val="11"/>
        <color theme="1"/>
        <rFont val="Calibri"/>
        <family val="2"/>
        <scheme val="minor"/>
      </rPr>
      <t xml:space="preserve"> / (2*1.73)</t>
    </r>
  </si>
  <si>
    <r>
      <t>C</t>
    </r>
    <r>
      <rPr>
        <vertAlign val="subscript"/>
        <sz val="11"/>
        <color theme="1"/>
        <rFont val="Calibri"/>
        <family val="2"/>
        <scheme val="minor"/>
      </rPr>
      <t>IN</t>
    </r>
    <r>
      <rPr>
        <sz val="11"/>
        <color theme="1"/>
        <rFont val="Calibri"/>
        <family val="2"/>
        <scheme val="minor"/>
      </rPr>
      <t xml:space="preserve"> Capacitor RMS Loss</t>
    </r>
  </si>
  <si>
    <r>
      <t>C</t>
    </r>
    <r>
      <rPr>
        <vertAlign val="subscript"/>
        <sz val="11"/>
        <color theme="1"/>
        <rFont val="Calibri"/>
        <family val="2"/>
        <scheme val="minor"/>
      </rPr>
      <t>OUT</t>
    </r>
    <r>
      <rPr>
        <sz val="11"/>
        <color theme="1"/>
        <rFont val="Calibri"/>
        <family val="2"/>
        <scheme val="minor"/>
      </rPr>
      <t xml:space="preserve"> Capacitor RMS Loss</t>
    </r>
  </si>
  <si>
    <r>
      <t>P</t>
    </r>
    <r>
      <rPr>
        <vertAlign val="subscript"/>
        <sz val="11"/>
        <color theme="1"/>
        <rFont val="Calibri"/>
        <family val="2"/>
        <scheme val="minor"/>
      </rPr>
      <t>CIN</t>
    </r>
  </si>
  <si>
    <r>
      <t>P</t>
    </r>
    <r>
      <rPr>
        <vertAlign val="subscript"/>
        <sz val="11"/>
        <color theme="1"/>
        <rFont val="Calibri"/>
        <family val="2"/>
        <scheme val="minor"/>
      </rPr>
      <t>L-DCR</t>
    </r>
    <r>
      <rPr>
        <sz val="11"/>
        <color theme="1"/>
        <rFont val="Calibri"/>
        <family val="2"/>
        <scheme val="minor"/>
      </rPr>
      <t xml:space="preserve"> = I</t>
    </r>
    <r>
      <rPr>
        <vertAlign val="superscript"/>
        <sz val="11"/>
        <color theme="1"/>
        <rFont val="Calibri"/>
        <family val="2"/>
        <scheme val="minor"/>
      </rPr>
      <t>2</t>
    </r>
    <r>
      <rPr>
        <vertAlign val="subscript"/>
        <sz val="11"/>
        <color theme="1"/>
        <rFont val="Calibri"/>
        <family val="2"/>
        <scheme val="minor"/>
      </rPr>
      <t xml:space="preserve">RMS_L </t>
    </r>
    <r>
      <rPr>
        <sz val="11"/>
        <color theme="1"/>
        <rFont val="Calibri"/>
        <family val="2"/>
        <scheme val="minor"/>
      </rPr>
      <t>x R</t>
    </r>
    <r>
      <rPr>
        <vertAlign val="subscript"/>
        <sz val="11"/>
        <color theme="1"/>
        <rFont val="Calibri"/>
        <family val="2"/>
        <scheme val="minor"/>
      </rPr>
      <t>DCR</t>
    </r>
  </si>
  <si>
    <r>
      <t>P</t>
    </r>
    <r>
      <rPr>
        <vertAlign val="subscript"/>
        <sz val="11"/>
        <color theme="1"/>
        <rFont val="Calibri"/>
        <family val="2"/>
        <scheme val="minor"/>
      </rPr>
      <t>COUT</t>
    </r>
  </si>
  <si>
    <t>Drive Mosfet Gate, Hi+Lo</t>
  </si>
  <si>
    <r>
      <t>P</t>
    </r>
    <r>
      <rPr>
        <vertAlign val="subscript"/>
        <sz val="11"/>
        <color theme="1"/>
        <rFont val="Calibri"/>
        <family val="2"/>
        <scheme val="minor"/>
      </rPr>
      <t>GATE-CHG</t>
    </r>
  </si>
  <si>
    <r>
      <t>P</t>
    </r>
    <r>
      <rPr>
        <vertAlign val="subscript"/>
        <sz val="11"/>
        <color theme="1"/>
        <rFont val="Calibri"/>
        <family val="2"/>
        <scheme val="minor"/>
      </rPr>
      <t>GATE-CHG</t>
    </r>
    <r>
      <rPr>
        <sz val="11"/>
        <color theme="1"/>
        <rFont val="Calibri"/>
        <family val="2"/>
        <scheme val="minor"/>
      </rPr>
      <t xml:space="preserve"> = (Q</t>
    </r>
    <r>
      <rPr>
        <vertAlign val="subscript"/>
        <sz val="11"/>
        <color theme="1"/>
        <rFont val="Calibri"/>
        <family val="2"/>
        <scheme val="minor"/>
      </rPr>
      <t>G-H</t>
    </r>
    <r>
      <rPr>
        <sz val="11"/>
        <color theme="1"/>
        <rFont val="Calibri"/>
        <family val="2"/>
        <scheme val="minor"/>
      </rPr>
      <t xml:space="preserve"> + Q</t>
    </r>
    <r>
      <rPr>
        <vertAlign val="subscript"/>
        <sz val="11"/>
        <color theme="1"/>
        <rFont val="Calibri"/>
        <family val="2"/>
        <scheme val="minor"/>
      </rPr>
      <t>G-L</t>
    </r>
    <r>
      <rPr>
        <sz val="11"/>
        <color theme="1"/>
        <rFont val="Calibri"/>
        <family val="2"/>
        <scheme val="minor"/>
      </rPr>
      <t>) * V</t>
    </r>
    <r>
      <rPr>
        <vertAlign val="subscript"/>
        <sz val="11"/>
        <color theme="1"/>
        <rFont val="Calibri"/>
        <family val="2"/>
        <scheme val="minor"/>
      </rPr>
      <t>dd</t>
    </r>
    <r>
      <rPr>
        <sz val="11"/>
        <color theme="1"/>
        <rFont val="Calibri"/>
        <family val="2"/>
        <scheme val="minor"/>
      </rPr>
      <t xml:space="preserve"> * ClockFreq;  Drive Hi+Lo Gate Charge (Qg) by Vdd volts ClkFreq times a second, Power (Watts) = Vdd  x ClockFreq x Qg</t>
    </r>
  </si>
  <si>
    <t>2m … 2.12m</t>
  </si>
  <si>
    <t>Expected from Calculations</t>
  </si>
  <si>
    <t>Expected from Gate Drive</t>
  </si>
  <si>
    <t xml:space="preserve">   Lo Mosfet</t>
  </si>
  <si>
    <t>Loss Between DcDc Input &amp; Load, Calculated</t>
  </si>
  <si>
    <t>Gate Drv Testing, UCC27282 -  2xFet Switch, v9c.TSC</t>
  </si>
  <si>
    <t>Forward Diode vDrop, Lo Mosfet, voltage drop across diode at tDf, depend on current</t>
  </si>
  <si>
    <t>Estimated Efficiency</t>
  </si>
  <si>
    <t>Estimated Performance</t>
  </si>
  <si>
    <t>Filter Inductor DCR Loss, observed on sim</t>
  </si>
  <si>
    <t>TINA Simulator Timing Observations</t>
  </si>
  <si>
    <t>Design Challenges</t>
  </si>
  <si>
    <t>* make sure gates to all mosfets do not lift when voltage at drain moves and pulls at gate via capacitance between drain and gate.</t>
  </si>
  <si>
    <t>* gate driver boot capacitors have a voltage drop that we don't want to be too much. This effects gate voltage.</t>
  </si>
  <si>
    <t>https://fscdn.rohm.com/en/products/databook/applinote/ic/power/input-filter-for-dcdc-converter_an-e.pdf</t>
  </si>
  <si>
    <t>Considering Input Filter to Reduce Conducted Emissions by DC-DC Converter</t>
  </si>
  <si>
    <t>Rboot is Critically Important (HB &amp; VgsHi is way off w/o it). We recharge Cboot Cap while Lo Switch is on and we have Cboot cap between 14Vpwr and GND. Simulator has 500nsec for this. yet this could be less, like 200nsec. We need to move</t>
  </si>
  <si>
    <t>charge into cap during this time. It is unloaded (i.e. used) when we turn on the Hi Switch. We keep Rbias and Rboot somewhat low so we can get charge into Cboot cap while it is charging (200 to 700nSec). Also, we need</t>
  </si>
  <si>
    <t>to keep at least 9V on this cap since GateDriver datasheet wants at least &gt;9V on (HB - HS) otherwise it will NOT work. Also, the amount of time that SwLo is on determines output voltage (clock x D is proportional to output voltage).</t>
  </si>
  <si>
    <t>If Vout is very similar to Vin, then SwLo on time is very low. Run simulator with 100nSec SwLo on and 1900nSec SwHi on and you will see low Cboot voltage (e.g. 53Vin, 50Vout)</t>
  </si>
  <si>
    <t>Old Notes</t>
  </si>
  <si>
    <r>
      <rPr>
        <sz val="11"/>
        <color theme="1"/>
        <rFont val="Calibri"/>
        <family val="2"/>
      </rPr>
      <t>µ</t>
    </r>
    <r>
      <rPr>
        <sz val="11"/>
        <color theme="1"/>
        <rFont val="Calibri"/>
        <family val="2"/>
        <scheme val="minor"/>
      </rPr>
      <t>F</t>
    </r>
  </si>
  <si>
    <r>
      <t>C</t>
    </r>
    <r>
      <rPr>
        <vertAlign val="subscript"/>
        <sz val="11"/>
        <color theme="1"/>
        <rFont val="Calibri"/>
        <family val="2"/>
        <scheme val="minor"/>
      </rPr>
      <t>F2</t>
    </r>
    <r>
      <rPr>
        <sz val="11"/>
        <color theme="1"/>
        <rFont val="Calibri"/>
        <family val="2"/>
        <scheme val="minor"/>
      </rPr>
      <t xml:space="preserve"> Filter Input Capacitor</t>
    </r>
  </si>
  <si>
    <r>
      <t>L</t>
    </r>
    <r>
      <rPr>
        <vertAlign val="subscript"/>
        <sz val="11"/>
        <color theme="1"/>
        <rFont val="Calibri"/>
        <family val="2"/>
        <scheme val="minor"/>
      </rPr>
      <t>F</t>
    </r>
    <r>
      <rPr>
        <sz val="11"/>
        <color theme="1"/>
        <rFont val="Calibri"/>
        <family val="2"/>
        <scheme val="minor"/>
      </rPr>
      <t xml:space="preserve"> Filter Inductor</t>
    </r>
  </si>
  <si>
    <r>
      <t>L</t>
    </r>
    <r>
      <rPr>
        <vertAlign val="subscript"/>
        <sz val="11"/>
        <color theme="1"/>
        <rFont val="Calibri"/>
        <family val="2"/>
        <scheme val="minor"/>
      </rPr>
      <t>F</t>
    </r>
  </si>
  <si>
    <t>µH</t>
  </si>
  <si>
    <r>
      <t>C</t>
    </r>
    <r>
      <rPr>
        <vertAlign val="subscript"/>
        <sz val="11"/>
        <color theme="1"/>
        <rFont val="Calibri"/>
        <family val="2"/>
        <scheme val="minor"/>
      </rPr>
      <t>D</t>
    </r>
    <r>
      <rPr>
        <sz val="11"/>
        <color theme="1"/>
        <rFont val="Calibri"/>
        <family val="2"/>
        <scheme val="minor"/>
      </rPr>
      <t xml:space="preserve"> Filter Dampen Capacitor</t>
    </r>
  </si>
  <si>
    <r>
      <t>C</t>
    </r>
    <r>
      <rPr>
        <vertAlign val="subscript"/>
        <sz val="11"/>
        <color theme="1"/>
        <rFont val="Calibri"/>
        <family val="2"/>
        <scheme val="minor"/>
      </rPr>
      <t>D</t>
    </r>
  </si>
  <si>
    <r>
      <t>R</t>
    </r>
    <r>
      <rPr>
        <vertAlign val="subscript"/>
        <sz val="11"/>
        <color theme="1"/>
        <rFont val="Calibri"/>
        <family val="2"/>
        <scheme val="minor"/>
      </rPr>
      <t>D</t>
    </r>
  </si>
  <si>
    <r>
      <t xml:space="preserve">ohms </t>
    </r>
    <r>
      <rPr>
        <sz val="11"/>
        <color theme="1"/>
        <rFont val="Calibri"/>
        <family val="2"/>
      </rPr>
      <t>Ω</t>
    </r>
  </si>
  <si>
    <r>
      <rPr>
        <sz val="11"/>
        <color theme="1"/>
        <rFont val="Calibri"/>
        <family val="2"/>
      </rPr>
      <t>ʄ</t>
    </r>
    <r>
      <rPr>
        <vertAlign val="subscript"/>
        <sz val="11"/>
        <color theme="1"/>
        <rFont val="Calibri"/>
        <family val="2"/>
        <scheme val="minor"/>
      </rPr>
      <t>CF</t>
    </r>
  </si>
  <si>
    <t>Dc-Dc Switching Frequency</t>
  </si>
  <si>
    <r>
      <rPr>
        <sz val="11"/>
        <color theme="1"/>
        <rFont val="Calibri"/>
        <family val="2"/>
      </rPr>
      <t>ʄ</t>
    </r>
    <r>
      <rPr>
        <vertAlign val="subscript"/>
        <sz val="11"/>
        <color theme="1"/>
        <rFont val="Calibri"/>
        <family val="2"/>
        <scheme val="minor"/>
      </rPr>
      <t>SW</t>
    </r>
  </si>
  <si>
    <t>Q</t>
  </si>
  <si>
    <r>
      <t>R</t>
    </r>
    <r>
      <rPr>
        <vertAlign val="subscript"/>
        <sz val="11"/>
        <color theme="1"/>
        <rFont val="Calibri"/>
        <family val="2"/>
        <scheme val="minor"/>
      </rPr>
      <t>D</t>
    </r>
    <r>
      <rPr>
        <sz val="11"/>
        <color theme="1"/>
        <rFont val="Calibri"/>
        <family val="2"/>
        <scheme val="minor"/>
      </rPr>
      <t xml:space="preserve"> Filter Dampen Resistor</t>
    </r>
  </si>
  <si>
    <r>
      <t>R</t>
    </r>
    <r>
      <rPr>
        <vertAlign val="subscript"/>
        <sz val="11"/>
        <color theme="1"/>
        <rFont val="Calibri"/>
        <family val="2"/>
        <scheme val="minor"/>
      </rPr>
      <t>D-IDEAL</t>
    </r>
  </si>
  <si>
    <t>Actual Input Filter</t>
  </si>
  <si>
    <t>https://fscdn.rohm.com/en/products/databook/applinote/ic/power/sw_method_for_monitoring_switching_waveform_an-e.pdf</t>
  </si>
  <si>
    <t>Method for Monitoring Switching Waveform</t>
  </si>
  <si>
    <t>PCB Layout</t>
  </si>
  <si>
    <t>Existing Converter Technology</t>
  </si>
  <si>
    <t>Example Boost Converters</t>
  </si>
  <si>
    <t>Example Buck Converters</t>
  </si>
  <si>
    <t>https://fscdn.rohm.com/en/products/databook/applinote/ic/power/switching_regulator/converter_pcb_layout_appli-e.pdf</t>
  </si>
  <si>
    <t>PCB Layout Techniques of Buck Converter, Rohm</t>
  </si>
  <si>
    <t>Method for Determining Constants of Peripheral Parts of Buck DC/DC Converter, Rohm</t>
  </si>
  <si>
    <t>https://fscdn.rohm.com/en/products/databook/applinote/ic/power/switching_regulator/setting_all_parts_around_dcdc_an-e.pdf</t>
  </si>
  <si>
    <t>Probing PCB with Oscilloscope</t>
  </si>
  <si>
    <t>Ti WebBench</t>
  </si>
  <si>
    <t>http://www.ti.com/design-resources/design-tools-simulation/webench-power-designer.html</t>
  </si>
  <si>
    <t>ST eDesign</t>
  </si>
  <si>
    <t>Analysis .xls File</t>
  </si>
  <si>
    <t>Web Design Tools</t>
  </si>
  <si>
    <t>https://infineon.poweresim.com/</t>
  </si>
  <si>
    <t>Infineon Power eSim</t>
  </si>
  <si>
    <t>Infineon Designer Powered by TinaCloud</t>
  </si>
  <si>
    <t>https://fscdn.rohm.com/en/products/databook/applinote/ic/power/switching_regulator/setting_compensation_parts_to_current_mode_buck_converter_an-e.pdf</t>
  </si>
  <si>
    <t>https://fscdn.rohm.com/en/products/databook/applinote/ic/power/switching_regulator/inductor_calculation_appli-e.pdf</t>
  </si>
  <si>
    <t>Phase Compensation Design for Current Mode Buck Converter, Rohm</t>
  </si>
  <si>
    <t>Inductor Calculation for Buck Converter, Rohm</t>
  </si>
  <si>
    <t>https://fscdn.rohm.com/en/products/databook/applinote/ic/power/switching_regulator/cera_cap_appli-e.pdf</t>
  </si>
  <si>
    <t>The Important Points of Multi-layer Ceramic Capacitor Used in Buck Converter circuit, Rohm</t>
  </si>
  <si>
    <r>
      <t>Select C</t>
    </r>
    <r>
      <rPr>
        <b/>
        <vertAlign val="subscript"/>
        <sz val="11"/>
        <color theme="6"/>
        <rFont val="Calibri"/>
        <family val="2"/>
        <scheme val="minor"/>
      </rPr>
      <t>D</t>
    </r>
    <r>
      <rPr>
        <b/>
        <sz val="11"/>
        <color theme="6"/>
        <rFont val="Calibri"/>
        <family val="2"/>
        <scheme val="minor"/>
      </rPr>
      <t xml:space="preserve"> &amp; R</t>
    </r>
    <r>
      <rPr>
        <b/>
        <vertAlign val="subscript"/>
        <sz val="11"/>
        <color theme="6"/>
        <rFont val="Calibri"/>
        <family val="2"/>
        <scheme val="minor"/>
      </rPr>
      <t xml:space="preserve">D </t>
    </r>
  </si>
  <si>
    <r>
      <t>C</t>
    </r>
    <r>
      <rPr>
        <vertAlign val="subscript"/>
        <sz val="11"/>
        <color theme="1"/>
        <rFont val="Calibri"/>
        <family val="2"/>
        <scheme val="minor"/>
      </rPr>
      <t>IN</t>
    </r>
    <r>
      <rPr>
        <sz val="11"/>
        <color theme="1"/>
        <rFont val="Calibri"/>
        <family val="2"/>
        <scheme val="minor"/>
      </rPr>
      <t xml:space="preserve"> (C</t>
    </r>
    <r>
      <rPr>
        <vertAlign val="subscript"/>
        <sz val="11"/>
        <color theme="1"/>
        <rFont val="Calibri"/>
        <family val="2"/>
        <scheme val="minor"/>
      </rPr>
      <t>F1</t>
    </r>
    <r>
      <rPr>
        <sz val="11"/>
        <color theme="1"/>
        <rFont val="Calibri"/>
        <family val="2"/>
        <scheme val="minor"/>
      </rPr>
      <t>)</t>
    </r>
  </si>
  <si>
    <r>
      <t>C</t>
    </r>
    <r>
      <rPr>
        <vertAlign val="subscript"/>
        <sz val="11"/>
        <color theme="1"/>
        <rFont val="Calibri"/>
        <family val="2"/>
        <scheme val="minor"/>
      </rPr>
      <t>F</t>
    </r>
    <r>
      <rPr>
        <sz val="11"/>
        <color theme="1"/>
        <rFont val="Calibri"/>
        <family val="2"/>
        <scheme val="minor"/>
      </rPr>
      <t xml:space="preserve"> (C</t>
    </r>
    <r>
      <rPr>
        <vertAlign val="subscript"/>
        <sz val="11"/>
        <color theme="1"/>
        <rFont val="Calibri"/>
        <family val="2"/>
        <scheme val="minor"/>
      </rPr>
      <t>F2</t>
    </r>
    <r>
      <rPr>
        <sz val="11"/>
        <color theme="1"/>
        <rFont val="Calibri"/>
        <family val="2"/>
        <scheme val="minor"/>
      </rPr>
      <t>)</t>
    </r>
  </si>
  <si>
    <r>
      <t>F</t>
    </r>
    <r>
      <rPr>
        <vertAlign val="subscript"/>
        <sz val="11"/>
        <color theme="1"/>
        <rFont val="Calibri"/>
        <family val="2"/>
        <scheme val="minor"/>
      </rPr>
      <t>CORNER</t>
    </r>
    <r>
      <rPr>
        <sz val="11"/>
        <color theme="1"/>
        <rFont val="Calibri"/>
        <family val="2"/>
        <scheme val="minor"/>
      </rPr>
      <t xml:space="preserve"> = 1 / [ 2 x </t>
    </r>
    <r>
      <rPr>
        <sz val="11"/>
        <color theme="1"/>
        <rFont val="Calibri"/>
        <family val="2"/>
      </rPr>
      <t>π x sqrt(L</t>
    </r>
    <r>
      <rPr>
        <vertAlign val="subscript"/>
        <sz val="11"/>
        <color theme="1"/>
        <rFont val="Calibri"/>
        <family val="2"/>
      </rPr>
      <t>F</t>
    </r>
    <r>
      <rPr>
        <sz val="11"/>
        <color theme="1"/>
        <rFont val="Calibri"/>
        <family val="2"/>
      </rPr>
      <t xml:space="preserve"> x C</t>
    </r>
    <r>
      <rPr>
        <vertAlign val="subscript"/>
        <sz val="11"/>
        <color theme="1"/>
        <rFont val="Calibri"/>
        <family val="2"/>
      </rPr>
      <t>F</t>
    </r>
    <r>
      <rPr>
        <sz val="11"/>
        <color theme="1"/>
        <rFont val="Calibri"/>
        <family val="2"/>
      </rPr>
      <t>) ]</t>
    </r>
  </si>
  <si>
    <r>
      <t>Q = R</t>
    </r>
    <r>
      <rPr>
        <vertAlign val="subscript"/>
        <sz val="11"/>
        <color theme="1"/>
        <rFont val="Calibri"/>
        <family val="2"/>
        <scheme val="minor"/>
      </rPr>
      <t>D</t>
    </r>
    <r>
      <rPr>
        <sz val="11"/>
        <color theme="1"/>
        <rFont val="Calibri"/>
        <family val="2"/>
        <scheme val="minor"/>
      </rPr>
      <t xml:space="preserve"> x </t>
    </r>
    <r>
      <rPr>
        <sz val="11"/>
        <color theme="1"/>
        <rFont val="Calibri"/>
        <family val="2"/>
      </rPr>
      <t>sqrt(C</t>
    </r>
    <r>
      <rPr>
        <vertAlign val="subscript"/>
        <sz val="11"/>
        <color theme="1"/>
        <rFont val="Calibri"/>
        <family val="2"/>
      </rPr>
      <t>IN</t>
    </r>
    <r>
      <rPr>
        <sz val="11"/>
        <color theme="1"/>
        <rFont val="Calibri"/>
        <family val="2"/>
      </rPr>
      <t xml:space="preserve"> / L</t>
    </r>
    <r>
      <rPr>
        <vertAlign val="subscript"/>
        <sz val="11"/>
        <color theme="1"/>
        <rFont val="Calibri"/>
        <family val="2"/>
      </rPr>
      <t>F</t>
    </r>
    <r>
      <rPr>
        <sz val="11"/>
        <color theme="1"/>
        <rFont val="Calibri"/>
        <family val="2"/>
      </rPr>
      <t>) ]</t>
    </r>
  </si>
  <si>
    <r>
      <t>C</t>
    </r>
    <r>
      <rPr>
        <vertAlign val="subscript"/>
        <sz val="11"/>
        <color theme="1"/>
        <rFont val="Calibri"/>
        <family val="2"/>
        <scheme val="minor"/>
      </rPr>
      <t>F-IDEAL</t>
    </r>
  </si>
  <si>
    <r>
      <t>R</t>
    </r>
    <r>
      <rPr>
        <vertAlign val="subscript"/>
        <sz val="11"/>
        <color theme="1"/>
        <rFont val="Calibri"/>
        <family val="2"/>
        <scheme val="minor"/>
      </rPr>
      <t>D</t>
    </r>
    <r>
      <rPr>
        <sz val="11"/>
        <color theme="1"/>
        <rFont val="Calibri"/>
        <family val="2"/>
        <scheme val="minor"/>
      </rPr>
      <t xml:space="preserve"> = sqrt</t>
    </r>
    <r>
      <rPr>
        <sz val="11"/>
        <color theme="1"/>
        <rFont val="Calibri"/>
        <family val="2"/>
      </rPr>
      <t>(L</t>
    </r>
    <r>
      <rPr>
        <vertAlign val="subscript"/>
        <sz val="11"/>
        <color theme="1"/>
        <rFont val="Calibri"/>
        <family val="2"/>
      </rPr>
      <t>F</t>
    </r>
    <r>
      <rPr>
        <sz val="11"/>
        <color theme="1"/>
        <rFont val="Calibri"/>
        <family val="2"/>
      </rPr>
      <t xml:space="preserve"> / C</t>
    </r>
    <r>
      <rPr>
        <vertAlign val="subscript"/>
        <sz val="11"/>
        <color theme="1"/>
        <rFont val="Calibri"/>
        <family val="2"/>
      </rPr>
      <t>IN</t>
    </r>
    <r>
      <rPr>
        <sz val="11"/>
        <color theme="1"/>
        <rFont val="Calibri"/>
        <family val="2"/>
      </rPr>
      <t>)</t>
    </r>
  </si>
  <si>
    <t>http://www.ti.com/lit/ds/snvsb32a/snvsb32a.pdf</t>
  </si>
  <si>
    <t>LM5146, Section "9.1.4 EMI Filter Design"</t>
  </si>
  <si>
    <r>
      <t>C</t>
    </r>
    <r>
      <rPr>
        <vertAlign val="subscript"/>
        <sz val="11"/>
        <color theme="1"/>
        <rFont val="Calibri"/>
        <family val="2"/>
        <scheme val="minor"/>
      </rPr>
      <t>D-IDEAL</t>
    </r>
  </si>
  <si>
    <r>
      <t>C</t>
    </r>
    <r>
      <rPr>
        <vertAlign val="subscript"/>
        <sz val="11"/>
        <color theme="1"/>
        <rFont val="Calibri"/>
        <family val="2"/>
        <scheme val="minor"/>
      </rPr>
      <t>D-IDEAL</t>
    </r>
    <r>
      <rPr>
        <sz val="11"/>
        <color theme="1"/>
        <rFont val="Calibri"/>
        <family val="2"/>
        <scheme val="minor"/>
      </rPr>
      <t xml:space="preserve"> = 4 x </t>
    </r>
    <r>
      <rPr>
        <sz val="11"/>
        <color theme="1"/>
        <rFont val="Calibri"/>
        <family val="2"/>
      </rPr>
      <t>C</t>
    </r>
    <r>
      <rPr>
        <vertAlign val="subscript"/>
        <sz val="11"/>
        <color theme="1"/>
        <rFont val="Calibri"/>
        <family val="2"/>
      </rPr>
      <t>IN</t>
    </r>
  </si>
  <si>
    <t>Converter Input Voltage</t>
  </si>
  <si>
    <r>
      <t>V</t>
    </r>
    <r>
      <rPr>
        <vertAlign val="subscript"/>
        <sz val="11"/>
        <color theme="1"/>
        <rFont val="Calibri"/>
        <family val="2"/>
        <scheme val="minor"/>
      </rPr>
      <t>IN</t>
    </r>
  </si>
  <si>
    <t>Converter Input Power</t>
  </si>
  <si>
    <r>
      <t>P</t>
    </r>
    <r>
      <rPr>
        <vertAlign val="subscript"/>
        <sz val="11"/>
        <color theme="1"/>
        <rFont val="Calibri"/>
        <family val="2"/>
        <scheme val="minor"/>
      </rPr>
      <t>IN</t>
    </r>
  </si>
  <si>
    <t>Converter Input Impedance</t>
  </si>
  <si>
    <t>Storing Energy when doing 60Hz DC to AC Conversion</t>
  </si>
  <si>
    <t>Ideal Filter Capacitor</t>
  </si>
  <si>
    <r>
      <t>C</t>
    </r>
    <r>
      <rPr>
        <vertAlign val="subscript"/>
        <sz val="11"/>
        <color theme="1"/>
        <rFont val="Calibri"/>
        <family val="2"/>
        <scheme val="minor"/>
      </rPr>
      <t>F</t>
    </r>
    <r>
      <rPr>
        <sz val="11"/>
        <color theme="1"/>
        <rFont val="Calibri"/>
        <family val="2"/>
        <scheme val="minor"/>
      </rPr>
      <t xml:space="preserve"> = 1 / [ (2 x </t>
    </r>
    <r>
      <rPr>
        <sz val="11"/>
        <color theme="1"/>
        <rFont val="Calibri"/>
        <family val="2"/>
      </rPr>
      <t>π x 0.1 x F</t>
    </r>
    <r>
      <rPr>
        <vertAlign val="subscript"/>
        <sz val="11"/>
        <color theme="1"/>
        <rFont val="Calibri"/>
        <family val="2"/>
      </rPr>
      <t>SW</t>
    </r>
    <r>
      <rPr>
        <sz val="11"/>
        <color theme="1"/>
        <rFont val="Calibri"/>
        <family val="2"/>
      </rPr>
      <t>)</t>
    </r>
    <r>
      <rPr>
        <vertAlign val="superscript"/>
        <sz val="11"/>
        <color theme="1"/>
        <rFont val="Calibri"/>
        <family val="2"/>
      </rPr>
      <t>2</t>
    </r>
    <r>
      <rPr>
        <sz val="11"/>
        <color theme="1"/>
        <rFont val="Calibri"/>
        <family val="2"/>
      </rPr>
      <t xml:space="preserve">  x L</t>
    </r>
    <r>
      <rPr>
        <vertAlign val="subscript"/>
        <sz val="11"/>
        <color theme="1"/>
        <rFont val="Calibri"/>
        <family val="2"/>
      </rPr>
      <t>F</t>
    </r>
    <r>
      <rPr>
        <sz val="11"/>
        <color theme="1"/>
        <rFont val="Calibri"/>
        <family val="2"/>
      </rPr>
      <t xml:space="preserve"> ];  put pole at 1/10th of switching frequency</t>
    </r>
  </si>
  <si>
    <r>
      <t>Select C</t>
    </r>
    <r>
      <rPr>
        <b/>
        <vertAlign val="subscript"/>
        <sz val="11"/>
        <color theme="6"/>
        <rFont val="Calibri"/>
        <family val="2"/>
        <scheme val="minor"/>
      </rPr>
      <t>F</t>
    </r>
  </si>
  <si>
    <r>
      <t>Resulting F</t>
    </r>
    <r>
      <rPr>
        <b/>
        <vertAlign val="subscript"/>
        <sz val="11"/>
        <color theme="6"/>
        <rFont val="Calibri"/>
        <family val="2"/>
        <scheme val="minor"/>
      </rPr>
      <t>CORNER</t>
    </r>
  </si>
  <si>
    <t>Filter Corner Freq., Calculated</t>
  </si>
  <si>
    <t>Quality, Calculated</t>
  </si>
  <si>
    <r>
      <t>Ideal Dampen Res (R</t>
    </r>
    <r>
      <rPr>
        <vertAlign val="subscript"/>
        <sz val="11"/>
        <color theme="1"/>
        <rFont val="Calibri"/>
        <family val="2"/>
        <scheme val="minor"/>
      </rPr>
      <t>D</t>
    </r>
    <r>
      <rPr>
        <sz val="11"/>
        <color theme="1"/>
        <rFont val="Calibri"/>
        <family val="2"/>
        <scheme val="minor"/>
      </rPr>
      <t>), Q</t>
    </r>
    <r>
      <rPr>
        <vertAlign val="subscript"/>
        <sz val="11"/>
        <color theme="1"/>
        <rFont val="Calibri"/>
        <family val="2"/>
        <scheme val="minor"/>
      </rPr>
      <t>F</t>
    </r>
    <r>
      <rPr>
        <sz val="11"/>
        <color theme="1"/>
        <rFont val="Calibri"/>
        <family val="2"/>
        <scheme val="minor"/>
      </rPr>
      <t>=1</t>
    </r>
  </si>
  <si>
    <r>
      <t>Ideal Dampen Capacitor (C</t>
    </r>
    <r>
      <rPr>
        <vertAlign val="subscript"/>
        <sz val="11"/>
        <color theme="1"/>
        <rFont val="Calibri"/>
        <family val="2"/>
        <scheme val="minor"/>
      </rPr>
      <t>D</t>
    </r>
    <r>
      <rPr>
        <sz val="11"/>
        <color theme="1"/>
        <rFont val="Calibri"/>
        <family val="2"/>
        <scheme val="minor"/>
      </rPr>
      <t>)</t>
    </r>
  </si>
  <si>
    <t>Input Impedance</t>
  </si>
  <si>
    <r>
      <t>Z</t>
    </r>
    <r>
      <rPr>
        <vertAlign val="subscript"/>
        <sz val="11"/>
        <color theme="1"/>
        <rFont val="Calibri"/>
        <family val="2"/>
        <scheme val="minor"/>
      </rPr>
      <t>CONV-IN</t>
    </r>
  </si>
  <si>
    <r>
      <t>Z</t>
    </r>
    <r>
      <rPr>
        <vertAlign val="subscript"/>
        <sz val="11"/>
        <color theme="1"/>
        <rFont val="Calibri"/>
        <family val="2"/>
        <scheme val="minor"/>
      </rPr>
      <t>CONV-IN</t>
    </r>
    <r>
      <rPr>
        <sz val="11"/>
        <color theme="1"/>
        <rFont val="Calibri"/>
        <family val="2"/>
        <scheme val="minor"/>
      </rPr>
      <t xml:space="preserve"> = </t>
    </r>
    <r>
      <rPr>
        <sz val="11"/>
        <color theme="1"/>
        <rFont val="Calibri"/>
        <family val="2"/>
      </rPr>
      <t>V</t>
    </r>
    <r>
      <rPr>
        <vertAlign val="subscript"/>
        <sz val="11"/>
        <color theme="1"/>
        <rFont val="Calibri"/>
        <family val="2"/>
      </rPr>
      <t>IN</t>
    </r>
    <r>
      <rPr>
        <vertAlign val="superscript"/>
        <sz val="11"/>
        <color theme="1"/>
        <rFont val="Calibri"/>
        <family val="2"/>
      </rPr>
      <t>2</t>
    </r>
    <r>
      <rPr>
        <sz val="11"/>
        <color theme="1"/>
        <rFont val="Calibri"/>
        <family val="2"/>
      </rPr>
      <t xml:space="preserve"> / P</t>
    </r>
    <r>
      <rPr>
        <vertAlign val="subscript"/>
        <sz val="11"/>
        <color theme="1"/>
        <rFont val="Calibri"/>
        <family val="2"/>
      </rPr>
      <t>IN</t>
    </r>
  </si>
  <si>
    <r>
      <t>For stability, the filter output impedance must be less than the DC-to-DC converter input impedance (Z</t>
    </r>
    <r>
      <rPr>
        <vertAlign val="subscript"/>
        <sz val="11"/>
        <color theme="1"/>
        <rFont val="Calibri"/>
        <family val="2"/>
        <scheme val="minor"/>
      </rPr>
      <t>CONV-IN</t>
    </r>
    <r>
      <rPr>
        <sz val="11"/>
        <color theme="1"/>
        <rFont val="Calibri"/>
        <family val="2"/>
        <scheme val="minor"/>
      </rPr>
      <t>)</t>
    </r>
  </si>
  <si>
    <r>
      <t>V</t>
    </r>
    <r>
      <rPr>
        <vertAlign val="subscript"/>
        <sz val="11"/>
        <color theme="1"/>
        <rFont val="Calibri"/>
        <family val="2"/>
        <scheme val="minor"/>
      </rPr>
      <t>CONV-IN</t>
    </r>
  </si>
  <si>
    <r>
      <t>P</t>
    </r>
    <r>
      <rPr>
        <vertAlign val="subscript"/>
        <sz val="11"/>
        <color theme="1"/>
        <rFont val="Calibri"/>
        <family val="2"/>
        <scheme val="minor"/>
      </rPr>
      <t>CONV-IN</t>
    </r>
  </si>
  <si>
    <t>Improve High-Current DC/DC Regulator EMI Performance for Free With Optimized Power Stage Layout</t>
  </si>
  <si>
    <t>See above "DC-to-DC Converter Input Filter"</t>
  </si>
  <si>
    <r>
      <t>Filter Output Capacitor (Conv C</t>
    </r>
    <r>
      <rPr>
        <vertAlign val="subscript"/>
        <sz val="11"/>
        <color theme="1"/>
        <rFont val="Calibri"/>
        <family val="2"/>
        <scheme val="minor"/>
      </rPr>
      <t>IN</t>
    </r>
    <r>
      <rPr>
        <sz val="11"/>
        <color theme="1"/>
        <rFont val="Calibri"/>
        <family val="2"/>
        <scheme val="minor"/>
      </rPr>
      <t>)</t>
    </r>
  </si>
  <si>
    <t>For more details, see above "DC-to-DC Converter Input Filter"</t>
  </si>
  <si>
    <t>https://en.wikipedia.org/wiki/Buck_converter</t>
  </si>
  <si>
    <t>Delta Current Out</t>
  </si>
  <si>
    <r>
      <t>ΔV</t>
    </r>
    <r>
      <rPr>
        <vertAlign val="subscript"/>
        <sz val="11"/>
        <color theme="1"/>
        <rFont val="Calibri"/>
        <family val="2"/>
      </rPr>
      <t>OUT</t>
    </r>
  </si>
  <si>
    <r>
      <rPr>
        <sz val="11"/>
        <color theme="1"/>
        <rFont val="Calibri"/>
        <family val="2"/>
      </rPr>
      <t>Δ</t>
    </r>
    <r>
      <rPr>
        <sz val="11"/>
        <color theme="1"/>
        <rFont val="Calibri"/>
        <family val="2"/>
        <scheme val="minor"/>
      </rPr>
      <t>V</t>
    </r>
    <r>
      <rPr>
        <vertAlign val="subscript"/>
        <sz val="11"/>
        <color theme="1"/>
        <rFont val="Calibri"/>
        <family val="2"/>
        <scheme val="minor"/>
      </rPr>
      <t>OUT</t>
    </r>
    <r>
      <rPr>
        <sz val="11"/>
        <color theme="1"/>
        <rFont val="Calibri"/>
        <family val="2"/>
        <scheme val="minor"/>
      </rPr>
      <t xml:space="preserve"> = ΔI</t>
    </r>
    <r>
      <rPr>
        <vertAlign val="subscript"/>
        <sz val="11"/>
        <color theme="1"/>
        <rFont val="Calibri"/>
        <family val="2"/>
        <scheme val="minor"/>
      </rPr>
      <t>OUT</t>
    </r>
    <r>
      <rPr>
        <sz val="11"/>
        <color theme="1"/>
        <rFont val="Calibri"/>
        <family val="2"/>
        <scheme val="minor"/>
      </rPr>
      <t xml:space="preserve"> * ClockPeriod / (2 * </t>
    </r>
    <r>
      <rPr>
        <sz val="11"/>
        <color theme="1"/>
        <rFont val="Calibri"/>
        <family val="2"/>
      </rPr>
      <t>π</t>
    </r>
    <r>
      <rPr>
        <sz val="11"/>
        <color theme="1"/>
        <rFont val="Calibri"/>
        <family val="2"/>
        <scheme val="minor"/>
      </rPr>
      <t xml:space="preserve"> * C</t>
    </r>
    <r>
      <rPr>
        <vertAlign val="subscript"/>
        <sz val="11"/>
        <color theme="1"/>
        <rFont val="Calibri"/>
        <family val="2"/>
        <scheme val="minor"/>
      </rPr>
      <t>OUT</t>
    </r>
    <r>
      <rPr>
        <sz val="11"/>
        <color theme="1"/>
        <rFont val="Calibri"/>
        <family val="2"/>
        <scheme val="minor"/>
      </rPr>
      <t>)</t>
    </r>
  </si>
  <si>
    <r>
      <t>C</t>
    </r>
    <r>
      <rPr>
        <vertAlign val="subscript"/>
        <sz val="11"/>
        <color theme="1"/>
        <rFont val="Calibri"/>
        <family val="2"/>
        <scheme val="minor"/>
      </rPr>
      <t>OUT</t>
    </r>
  </si>
  <si>
    <t>Cout Capacitance</t>
  </si>
  <si>
    <r>
      <rPr>
        <sz val="11"/>
        <color theme="1"/>
        <rFont val="Calibri"/>
        <family val="2"/>
      </rPr>
      <t>Δ</t>
    </r>
    <r>
      <rPr>
        <sz val="11"/>
        <color theme="1"/>
        <rFont val="Calibri"/>
        <family val="2"/>
        <scheme val="minor"/>
      </rPr>
      <t>V</t>
    </r>
    <r>
      <rPr>
        <vertAlign val="subscript"/>
        <sz val="11"/>
        <color theme="1"/>
        <rFont val="Calibri"/>
        <family val="2"/>
        <scheme val="minor"/>
      </rPr>
      <t>OUT</t>
    </r>
    <r>
      <rPr>
        <sz val="11"/>
        <color theme="1"/>
        <rFont val="Calibri"/>
        <family val="2"/>
        <scheme val="minor"/>
      </rPr>
      <t xml:space="preserve"> = I</t>
    </r>
    <r>
      <rPr>
        <vertAlign val="subscript"/>
        <sz val="11"/>
        <color theme="1"/>
        <rFont val="Calibri"/>
        <family val="2"/>
        <scheme val="minor"/>
      </rPr>
      <t>OUT-MAX</t>
    </r>
    <r>
      <rPr>
        <sz val="11"/>
        <color theme="1"/>
        <rFont val="Calibri"/>
        <family val="2"/>
        <scheme val="minor"/>
      </rPr>
      <t xml:space="preserve">  -  I</t>
    </r>
    <r>
      <rPr>
        <vertAlign val="subscript"/>
        <sz val="11"/>
        <color theme="1"/>
        <rFont val="Calibri"/>
        <family val="2"/>
        <scheme val="minor"/>
      </rPr>
      <t>OUT-MIN</t>
    </r>
  </si>
  <si>
    <r>
      <t>I</t>
    </r>
    <r>
      <rPr>
        <vertAlign val="subscript"/>
        <sz val="11"/>
        <color theme="1"/>
        <rFont val="Calibri"/>
        <family val="2"/>
        <scheme val="minor"/>
      </rPr>
      <t>OUT-MIN</t>
    </r>
  </si>
  <si>
    <r>
      <t>I</t>
    </r>
    <r>
      <rPr>
        <vertAlign val="subscript"/>
        <sz val="11"/>
        <color theme="1"/>
        <rFont val="Calibri"/>
        <family val="2"/>
        <scheme val="minor"/>
      </rPr>
      <t>OUT-MAX</t>
    </r>
  </si>
  <si>
    <r>
      <rPr>
        <sz val="11"/>
        <color theme="1"/>
        <rFont val="Calibri"/>
        <family val="2"/>
      </rPr>
      <t>Δ</t>
    </r>
    <r>
      <rPr>
        <sz val="11"/>
        <color theme="1"/>
        <rFont val="Calibri"/>
        <family val="2"/>
        <scheme val="minor"/>
      </rPr>
      <t>I</t>
    </r>
    <r>
      <rPr>
        <vertAlign val="subscript"/>
        <sz val="11"/>
        <color theme="1"/>
        <rFont val="Calibri"/>
        <family val="2"/>
        <scheme val="minor"/>
      </rPr>
      <t>L</t>
    </r>
    <r>
      <rPr>
        <sz val="11"/>
        <color theme="1"/>
        <rFont val="Calibri"/>
        <family val="2"/>
        <scheme val="minor"/>
      </rPr>
      <t xml:space="preserve"> =</t>
    </r>
    <r>
      <rPr>
        <vertAlign val="subscript"/>
        <sz val="11"/>
        <color theme="1"/>
        <rFont val="Calibri"/>
        <family val="2"/>
        <scheme val="minor"/>
      </rPr>
      <t xml:space="preserve"> </t>
    </r>
    <r>
      <rPr>
        <sz val="11"/>
        <color theme="1"/>
        <rFont val="Calibri"/>
        <family val="2"/>
        <scheme val="minor"/>
      </rPr>
      <t>ΔI</t>
    </r>
    <r>
      <rPr>
        <vertAlign val="subscript"/>
        <sz val="11"/>
        <color theme="1"/>
        <rFont val="Calibri"/>
        <family val="2"/>
        <scheme val="minor"/>
      </rPr>
      <t>OUT</t>
    </r>
  </si>
  <si>
    <t>Lowest inductance for continuous conduction</t>
  </si>
  <si>
    <t>L_Min for Continuous Operation</t>
  </si>
  <si>
    <r>
      <t>L</t>
    </r>
    <r>
      <rPr>
        <vertAlign val="subscript"/>
        <sz val="11"/>
        <color theme="1"/>
        <rFont val="Calibri"/>
        <family val="2"/>
        <scheme val="minor"/>
      </rPr>
      <t>MIN-CONTINUOUS</t>
    </r>
  </si>
  <si>
    <r>
      <t>I</t>
    </r>
    <r>
      <rPr>
        <vertAlign val="subscript"/>
        <sz val="11"/>
        <color theme="1"/>
        <rFont val="Calibri"/>
        <family val="2"/>
        <scheme val="minor"/>
      </rPr>
      <t>OUT-AVG</t>
    </r>
  </si>
  <si>
    <t>Voltage Output Ripple, Approx</t>
  </si>
  <si>
    <t>Converter Inductor Conduction</t>
  </si>
  <si>
    <t>Filter Inductor Conduction</t>
  </si>
  <si>
    <r>
      <t>P</t>
    </r>
    <r>
      <rPr>
        <vertAlign val="subscript"/>
        <sz val="11"/>
        <color theme="1"/>
        <rFont val="Calibri"/>
        <family val="2"/>
        <scheme val="minor"/>
      </rPr>
      <t>FILTER-DCR</t>
    </r>
  </si>
  <si>
    <r>
      <t>P</t>
    </r>
    <r>
      <rPr>
        <vertAlign val="subscript"/>
        <sz val="11"/>
        <color theme="1"/>
        <rFont val="Calibri"/>
        <family val="2"/>
        <scheme val="minor"/>
      </rPr>
      <t>CIN</t>
    </r>
    <r>
      <rPr>
        <sz val="11"/>
        <color theme="1"/>
        <rFont val="Calibri"/>
        <family val="2"/>
        <scheme val="minor"/>
      </rPr>
      <t xml:space="preserve"> = I</t>
    </r>
    <r>
      <rPr>
        <vertAlign val="subscript"/>
        <sz val="11"/>
        <color theme="1"/>
        <rFont val="Calibri"/>
        <family val="2"/>
        <scheme val="minor"/>
      </rPr>
      <t>Cin-RMS</t>
    </r>
    <r>
      <rPr>
        <vertAlign val="superscript"/>
        <sz val="11"/>
        <color theme="1"/>
        <rFont val="Calibri"/>
        <family val="2"/>
        <scheme val="minor"/>
      </rPr>
      <t>2</t>
    </r>
    <r>
      <rPr>
        <sz val="11"/>
        <color theme="1"/>
        <rFont val="Calibri"/>
        <family val="2"/>
        <scheme val="minor"/>
      </rPr>
      <t xml:space="preserve"> x C</t>
    </r>
    <r>
      <rPr>
        <vertAlign val="subscript"/>
        <sz val="11"/>
        <color theme="1"/>
        <rFont val="Calibri"/>
        <family val="2"/>
        <scheme val="minor"/>
      </rPr>
      <t>IN-ESR</t>
    </r>
  </si>
  <si>
    <r>
      <t>P</t>
    </r>
    <r>
      <rPr>
        <vertAlign val="subscript"/>
        <sz val="11"/>
        <color theme="1"/>
        <rFont val="Calibri"/>
        <family val="2"/>
        <scheme val="minor"/>
      </rPr>
      <t>COUT</t>
    </r>
    <r>
      <rPr>
        <sz val="11"/>
        <color theme="1"/>
        <rFont val="Calibri"/>
        <family val="2"/>
        <scheme val="minor"/>
      </rPr>
      <t xml:space="preserve"> = I</t>
    </r>
    <r>
      <rPr>
        <vertAlign val="subscript"/>
        <sz val="11"/>
        <color theme="1"/>
        <rFont val="Calibri"/>
        <family val="2"/>
        <scheme val="minor"/>
      </rPr>
      <t>Cout-RMS</t>
    </r>
    <r>
      <rPr>
        <vertAlign val="superscript"/>
        <sz val="11"/>
        <color theme="1"/>
        <rFont val="Calibri"/>
        <family val="2"/>
        <scheme val="minor"/>
      </rPr>
      <t>2</t>
    </r>
    <r>
      <rPr>
        <sz val="11"/>
        <color theme="1"/>
        <rFont val="Calibri"/>
        <family val="2"/>
        <scheme val="minor"/>
      </rPr>
      <t xml:space="preserve"> x C</t>
    </r>
    <r>
      <rPr>
        <vertAlign val="subscript"/>
        <sz val="11"/>
        <color theme="1"/>
        <rFont val="Calibri"/>
        <family val="2"/>
        <scheme val="minor"/>
      </rPr>
      <t>out-ESR</t>
    </r>
  </si>
  <si>
    <r>
      <t>P</t>
    </r>
    <r>
      <rPr>
        <vertAlign val="subscript"/>
        <sz val="11"/>
        <color theme="1"/>
        <rFont val="Calibri"/>
        <family val="2"/>
        <scheme val="minor"/>
      </rPr>
      <t>FILTER-DCR</t>
    </r>
    <r>
      <rPr>
        <sz val="11"/>
        <color theme="1"/>
        <rFont val="Calibri"/>
        <family val="2"/>
        <scheme val="minor"/>
      </rPr>
      <t xml:space="preserve"> = I</t>
    </r>
    <r>
      <rPr>
        <vertAlign val="subscript"/>
        <sz val="11"/>
        <color theme="1"/>
        <rFont val="Calibri"/>
        <family val="2"/>
        <scheme val="minor"/>
      </rPr>
      <t>IN</t>
    </r>
    <r>
      <rPr>
        <vertAlign val="superscript"/>
        <sz val="11"/>
        <color theme="1"/>
        <rFont val="Calibri"/>
        <family val="2"/>
        <scheme val="minor"/>
      </rPr>
      <t>2</t>
    </r>
    <r>
      <rPr>
        <vertAlign val="subscript"/>
        <sz val="11"/>
        <color theme="1"/>
        <rFont val="Calibri"/>
        <family val="2"/>
        <scheme val="minor"/>
      </rPr>
      <t xml:space="preserve"> </t>
    </r>
    <r>
      <rPr>
        <sz val="11"/>
        <color theme="1"/>
        <rFont val="Calibri"/>
        <family val="2"/>
        <scheme val="minor"/>
      </rPr>
      <t>x R</t>
    </r>
    <r>
      <rPr>
        <vertAlign val="subscript"/>
        <sz val="11"/>
        <color theme="1"/>
        <rFont val="Calibri"/>
        <family val="2"/>
        <scheme val="minor"/>
      </rPr>
      <t>FILTER-DCR</t>
    </r>
    <r>
      <rPr>
        <sz val="11"/>
        <color theme="1"/>
        <rFont val="Calibri"/>
        <family val="2"/>
        <scheme val="minor"/>
      </rPr>
      <t>; loss from Input Filter Inductor DCR</t>
    </r>
  </si>
  <si>
    <t>Filter Inductor DC Resistance</t>
  </si>
  <si>
    <t>Converter Inductor DC Resistance</t>
  </si>
  <si>
    <r>
      <t>R</t>
    </r>
    <r>
      <rPr>
        <vertAlign val="subscript"/>
        <sz val="11"/>
        <color theme="1"/>
        <rFont val="Calibri"/>
        <family val="2"/>
        <scheme val="minor"/>
      </rPr>
      <t>FILTER-DCR</t>
    </r>
  </si>
  <si>
    <r>
      <t>I</t>
    </r>
    <r>
      <rPr>
        <vertAlign val="subscript"/>
        <sz val="11"/>
        <color theme="1"/>
        <rFont val="Calibri"/>
        <family val="2"/>
        <scheme val="minor"/>
      </rPr>
      <t>IN</t>
    </r>
  </si>
  <si>
    <t>Current input, ideal converter</t>
  </si>
  <si>
    <t>Filter Inductor DCR Loss, Calculated</t>
  </si>
  <si>
    <t>Loss from Input Filter, (Pin - Pout)</t>
  </si>
  <si>
    <t>TINA Simulator Power Observations (all parameters are Watts)</t>
  </si>
  <si>
    <t>7 components</t>
  </si>
  <si>
    <t>Drain-to-Source Watts, Hi, Observed on Sim</t>
  </si>
  <si>
    <t xml:space="preserve">Total, Observed  </t>
  </si>
  <si>
    <t>2.9Vpwr (W), Observed on Sim</t>
  </si>
  <si>
    <t>3.15Vpwr (W), Observed on Sim</t>
  </si>
  <si>
    <t>Conductor Inductor DCR (W), Observed on Sim</t>
  </si>
  <si>
    <t>DcDc Input (W), Observed on Sim</t>
  </si>
  <si>
    <t>LOAD DcDc Output (W), Observed on Sim</t>
  </si>
  <si>
    <t>Filter Input (W), Observed on Sim</t>
  </si>
  <si>
    <r>
      <t>Observed Output Ripple, Volts</t>
    </r>
    <r>
      <rPr>
        <vertAlign val="subscript"/>
        <sz val="11"/>
        <color theme="1"/>
        <rFont val="Calibri"/>
        <family val="2"/>
        <scheme val="minor"/>
      </rPr>
      <t>pp</t>
    </r>
    <r>
      <rPr>
        <sz val="11"/>
        <color theme="1"/>
        <rFont val="Calibri"/>
        <family val="2"/>
        <scheme val="minor"/>
      </rPr>
      <t>, Observed on Sim</t>
    </r>
  </si>
  <si>
    <t>Total Power Loss</t>
  </si>
  <si>
    <t>Efficiency, FilterInput to LOAD, Calc from Sim</t>
  </si>
  <si>
    <r>
      <t>C</t>
    </r>
    <r>
      <rPr>
        <vertAlign val="subscript"/>
        <sz val="11"/>
        <color theme="1"/>
        <rFont val="Calibri"/>
        <family val="2"/>
        <scheme val="minor"/>
      </rPr>
      <t>OSS</t>
    </r>
    <r>
      <rPr>
        <sz val="11"/>
        <color theme="1"/>
        <rFont val="Calibri"/>
        <family val="2"/>
        <scheme val="minor"/>
      </rPr>
      <t xml:space="preserve"> Capacitance Switching Loss, Hi+Lo</t>
    </r>
  </si>
  <si>
    <r>
      <t>C</t>
    </r>
    <r>
      <rPr>
        <vertAlign val="subscript"/>
        <sz val="11"/>
        <color theme="1"/>
        <rFont val="Calibri"/>
        <family val="2"/>
        <scheme val="minor"/>
      </rPr>
      <t>OSS-H</t>
    </r>
  </si>
  <si>
    <r>
      <t>C</t>
    </r>
    <r>
      <rPr>
        <vertAlign val="subscript"/>
        <sz val="11"/>
        <color theme="1"/>
        <rFont val="Calibri"/>
        <family val="2"/>
        <scheme val="minor"/>
      </rPr>
      <t>OSS-L</t>
    </r>
  </si>
  <si>
    <r>
      <t>P</t>
    </r>
    <r>
      <rPr>
        <vertAlign val="subscript"/>
        <sz val="11"/>
        <color theme="1"/>
        <rFont val="Calibri"/>
        <family val="2"/>
        <scheme val="minor"/>
      </rPr>
      <t xml:space="preserve">COSS </t>
    </r>
    <r>
      <rPr>
        <sz val="11"/>
        <color theme="1"/>
        <rFont val="Calibri"/>
        <family val="2"/>
        <scheme val="minor"/>
      </rPr>
      <t>= 0.5 x V</t>
    </r>
    <r>
      <rPr>
        <vertAlign val="subscript"/>
        <sz val="11"/>
        <color theme="1"/>
        <rFont val="Calibri"/>
        <family val="2"/>
        <scheme val="minor"/>
      </rPr>
      <t>IN</t>
    </r>
    <r>
      <rPr>
        <vertAlign val="superscript"/>
        <sz val="11"/>
        <color theme="1"/>
        <rFont val="Calibri"/>
        <family val="2"/>
        <scheme val="minor"/>
      </rPr>
      <t>2</t>
    </r>
    <r>
      <rPr>
        <sz val="11"/>
        <color theme="1"/>
        <rFont val="Calibri"/>
        <family val="2"/>
        <scheme val="minor"/>
      </rPr>
      <t xml:space="preserve"> x (C</t>
    </r>
    <r>
      <rPr>
        <vertAlign val="subscript"/>
        <sz val="11"/>
        <color theme="1"/>
        <rFont val="Calibri"/>
        <family val="2"/>
        <scheme val="minor"/>
      </rPr>
      <t>OSS-L</t>
    </r>
    <r>
      <rPr>
        <sz val="11"/>
        <color theme="1"/>
        <rFont val="Calibri"/>
        <family val="2"/>
        <scheme val="minor"/>
      </rPr>
      <t xml:space="preserve"> + C</t>
    </r>
    <r>
      <rPr>
        <vertAlign val="subscript"/>
        <sz val="11"/>
        <color theme="1"/>
        <rFont val="Calibri"/>
        <family val="2"/>
        <scheme val="minor"/>
      </rPr>
      <t>OSS-H</t>
    </r>
    <r>
      <rPr>
        <sz val="11"/>
        <color theme="1"/>
        <rFont val="Calibri"/>
        <family val="2"/>
        <scheme val="minor"/>
      </rPr>
      <t>) x ClkFrequency;  Drive MOSFET C</t>
    </r>
    <r>
      <rPr>
        <vertAlign val="subscript"/>
        <sz val="11"/>
        <color theme="1"/>
        <rFont val="Calibri"/>
        <family val="2"/>
        <scheme val="minor"/>
      </rPr>
      <t>oss</t>
    </r>
    <r>
      <rPr>
        <sz val="11"/>
        <color theme="1"/>
        <rFont val="Calibri"/>
        <family val="2"/>
        <scheme val="minor"/>
      </rPr>
      <t xml:space="preserve"> Output Capacitance (Hi+Lk);  Energy stored in Cap (joules) = 1/2 x C x V</t>
    </r>
    <r>
      <rPr>
        <vertAlign val="superscript"/>
        <sz val="11"/>
        <color theme="1"/>
        <rFont val="Calibri"/>
        <family val="2"/>
        <scheme val="minor"/>
      </rPr>
      <t>2</t>
    </r>
  </si>
  <si>
    <r>
      <t>Q</t>
    </r>
    <r>
      <rPr>
        <vertAlign val="subscript"/>
        <sz val="11"/>
        <color theme="1"/>
        <rFont val="Calibri"/>
        <family val="2"/>
        <scheme val="minor"/>
      </rPr>
      <t>G-H</t>
    </r>
  </si>
  <si>
    <r>
      <t>Q</t>
    </r>
    <r>
      <rPr>
        <vertAlign val="subscript"/>
        <sz val="11"/>
        <color theme="1"/>
        <rFont val="Calibri"/>
        <family val="2"/>
        <scheme val="minor"/>
      </rPr>
      <t>G-L</t>
    </r>
  </si>
  <si>
    <r>
      <t>R</t>
    </r>
    <r>
      <rPr>
        <vertAlign val="subscript"/>
        <sz val="11"/>
        <color theme="1"/>
        <rFont val="Calibri"/>
        <family val="2"/>
        <scheme val="minor"/>
      </rPr>
      <t>ON-H</t>
    </r>
  </si>
  <si>
    <r>
      <t>R</t>
    </r>
    <r>
      <rPr>
        <vertAlign val="subscript"/>
        <sz val="11"/>
        <color theme="1"/>
        <rFont val="Calibri"/>
        <family val="2"/>
        <scheme val="minor"/>
      </rPr>
      <t>ON-L</t>
    </r>
  </si>
  <si>
    <r>
      <t>P</t>
    </r>
    <r>
      <rPr>
        <vertAlign val="subscript"/>
        <sz val="11"/>
        <color theme="1"/>
        <rFont val="Calibri"/>
        <family val="2"/>
        <scheme val="minor"/>
      </rPr>
      <t>OUT</t>
    </r>
  </si>
  <si>
    <r>
      <t>V</t>
    </r>
    <r>
      <rPr>
        <vertAlign val="subscript"/>
        <sz val="11"/>
        <color theme="1"/>
        <rFont val="Calibri"/>
        <family val="2"/>
        <scheme val="minor"/>
      </rPr>
      <t>DD</t>
    </r>
  </si>
  <si>
    <t>L</t>
  </si>
  <si>
    <t>ClkPeriod</t>
  </si>
  <si>
    <t>ClkFreq</t>
  </si>
  <si>
    <t>D</t>
  </si>
  <si>
    <r>
      <t>V</t>
    </r>
    <r>
      <rPr>
        <vertAlign val="subscript"/>
        <sz val="11"/>
        <color theme="1"/>
        <rFont val="Calibri"/>
        <family val="2"/>
        <scheme val="minor"/>
      </rPr>
      <t>OUT</t>
    </r>
  </si>
  <si>
    <t>Minimum current for conduction</t>
  </si>
  <si>
    <t>* make sure max gate current is not too high</t>
  </si>
  <si>
    <t>Lo Mosfet</t>
  </si>
  <si>
    <t>Max Gate Current (Amps), Hi</t>
  </si>
  <si>
    <t>TiWebBench, 48Vin, 30V-10A out, 250KHz, 4-8-2020.pdf</t>
  </si>
  <si>
    <t>TiWebBench, 48Vin, 39V-7.8A out, 250KHz, 4-8-2020.pdf</t>
  </si>
  <si>
    <t>Report Filename</t>
  </si>
  <si>
    <r>
      <t>Efficiency based on ClockFreq, V</t>
    </r>
    <r>
      <rPr>
        <vertAlign val="subscript"/>
        <sz val="11"/>
        <color theme="1"/>
        <rFont val="Calibri"/>
        <family val="2"/>
        <scheme val="minor"/>
      </rPr>
      <t>IN</t>
    </r>
    <r>
      <rPr>
        <sz val="11"/>
        <color theme="1"/>
        <rFont val="Calibri"/>
        <family val="2"/>
        <scheme val="minor"/>
      </rPr>
      <t>, V</t>
    </r>
    <r>
      <rPr>
        <vertAlign val="subscript"/>
        <sz val="11"/>
        <color theme="1"/>
        <rFont val="Calibri"/>
        <family val="2"/>
        <scheme val="minor"/>
      </rPr>
      <t>OUT</t>
    </r>
    <r>
      <rPr>
        <sz val="11"/>
        <color theme="1"/>
        <rFont val="Calibri"/>
        <family val="2"/>
        <scheme val="minor"/>
      </rPr>
      <t>, I</t>
    </r>
    <r>
      <rPr>
        <vertAlign val="subscript"/>
        <sz val="11"/>
        <color theme="1"/>
        <rFont val="Calibri"/>
        <family val="2"/>
        <scheme val="minor"/>
      </rPr>
      <t>OUT</t>
    </r>
  </si>
  <si>
    <t>TiWebBench, 48Vin, 40V-6.5A out, 177KHz, 4-8-2020</t>
  </si>
  <si>
    <t>TiWebBench, 25Vin, 20V-10A out, 500KHz, 4-8-2020.pdf</t>
  </si>
  <si>
    <t>TiWebBench, 75Vin, 60V-5A out, 500KHz, 4-8-2020.pdf</t>
  </si>
  <si>
    <t>TiWebBench, 75Vin, 35V-8.5A out, 333KHz, 4-8-2020.pdf</t>
  </si>
  <si>
    <t>Note: 100V array of 2 is $0.15</t>
  </si>
  <si>
    <t>I see osc, I think this is working</t>
  </si>
  <si>
    <t>bss131_LO from tina lib and also downloaded from infineon shows 8uA Drain to Gate ?!?!</t>
  </si>
  <si>
    <t>https://www.digikey.com/product-detail/en/on-semiconductor/1SMB5949BT3G/1SMB5949BT3GOSTR-ND/1474948</t>
  </si>
  <si>
    <t>1SMB5949BT3G</t>
  </si>
  <si>
    <t>95V @ 4mA</t>
  </si>
  <si>
    <t>SPICE HAD 8uA Gate to Drain &gt;&gt;</t>
  </si>
  <si>
    <t>PDZ33BGWJ</t>
  </si>
  <si>
    <t>SOD-123</t>
  </si>
  <si>
    <t>No spice</t>
  </si>
  <si>
    <t>https://www.digikey.com/product-detail/en/nexperia-usa-inc/BZX84-B43-215/BZX84-B43-215-ND/1156034</t>
  </si>
  <si>
    <r>
      <t>BZX84</t>
    </r>
    <r>
      <rPr>
        <sz val="11"/>
        <color rgb="FF00B0F0"/>
        <rFont val="Calibri"/>
        <family val="2"/>
        <scheme val="minor"/>
      </rPr>
      <t>C</t>
    </r>
    <r>
      <rPr>
        <sz val="11"/>
        <color theme="1"/>
        <rFont val="Calibri"/>
        <family val="2"/>
        <scheme val="minor"/>
      </rPr>
      <t>13LT1G</t>
    </r>
  </si>
  <si>
    <r>
      <t>BZX84</t>
    </r>
    <r>
      <rPr>
        <sz val="11"/>
        <color rgb="FF00B0F0"/>
        <rFont val="Calibri"/>
        <family val="2"/>
        <scheme val="minor"/>
      </rPr>
      <t>C</t>
    </r>
    <r>
      <rPr>
        <sz val="11"/>
        <color theme="1"/>
        <rFont val="Calibri"/>
        <family val="2"/>
        <scheme val="minor"/>
      </rPr>
      <t>18LT1G</t>
    </r>
  </si>
  <si>
    <r>
      <t>BZX84</t>
    </r>
    <r>
      <rPr>
        <sz val="11"/>
        <color rgb="FF00B0F0"/>
        <rFont val="Calibri"/>
        <family val="2"/>
        <scheme val="minor"/>
      </rPr>
      <t>C</t>
    </r>
    <r>
      <rPr>
        <sz val="11"/>
        <color theme="1"/>
        <rFont val="Calibri"/>
        <family val="2"/>
        <scheme val="minor"/>
      </rPr>
      <t>24LT1G</t>
    </r>
  </si>
  <si>
    <r>
      <t>BZX84</t>
    </r>
    <r>
      <rPr>
        <sz val="11"/>
        <color rgb="FF00B0F0"/>
        <rFont val="Calibri"/>
        <family val="2"/>
        <scheme val="minor"/>
      </rPr>
      <t>C</t>
    </r>
    <r>
      <rPr>
        <sz val="11"/>
        <color theme="1"/>
        <rFont val="Calibri"/>
        <family val="2"/>
        <scheme val="minor"/>
      </rPr>
      <t>30LT1G</t>
    </r>
  </si>
  <si>
    <t>TSV994IPT, st.com</t>
  </si>
  <si>
    <t>85 nA max at 85C (st.com datasheet), yet other manuf quote low Typical #'s and do not specify Maximum.  For more details, search this file for "Leakage Current for Quad Op Amp"</t>
  </si>
  <si>
    <r>
      <t>BZX84-</t>
    </r>
    <r>
      <rPr>
        <sz val="11"/>
        <color rgb="FFFF0000"/>
        <rFont val="Calibri"/>
        <family val="2"/>
        <scheme val="minor"/>
      </rPr>
      <t>B</t>
    </r>
    <r>
      <rPr>
        <sz val="11"/>
        <color theme="1"/>
        <rFont val="Calibri"/>
        <family val="2"/>
        <scheme val="minor"/>
      </rPr>
      <t>43-215</t>
    </r>
  </si>
  <si>
    <t>TSX634, st.com</t>
  </si>
  <si>
    <r>
      <t>V</t>
    </r>
    <r>
      <rPr>
        <vertAlign val="subscript"/>
        <sz val="11"/>
        <color theme="1"/>
        <rFont val="Calibri"/>
        <family val="2"/>
        <scheme val="minor"/>
      </rPr>
      <t xml:space="preserve">AGND </t>
    </r>
    <r>
      <rPr>
        <sz val="11"/>
        <color theme="1"/>
        <rFont val="Calibri"/>
        <family val="2"/>
        <scheme val="minor"/>
      </rPr>
      <t>= V</t>
    </r>
    <r>
      <rPr>
        <vertAlign val="subscript"/>
        <sz val="11"/>
        <color theme="1"/>
        <rFont val="Calibri"/>
        <family val="2"/>
        <scheme val="minor"/>
      </rPr>
      <t>SSA</t>
    </r>
  </si>
  <si>
    <r>
      <t>V</t>
    </r>
    <r>
      <rPr>
        <vertAlign val="subscript"/>
        <sz val="11"/>
        <color theme="1"/>
        <rFont val="Calibri"/>
        <family val="2"/>
        <scheme val="minor"/>
      </rPr>
      <t xml:space="preserve">AREF </t>
    </r>
    <r>
      <rPr>
        <sz val="11"/>
        <color theme="1"/>
        <rFont val="Calibri"/>
        <family val="2"/>
        <scheme val="minor"/>
      </rPr>
      <t>= V</t>
    </r>
    <r>
      <rPr>
        <vertAlign val="subscript"/>
        <sz val="11"/>
        <color theme="1"/>
        <rFont val="Calibri"/>
        <family val="2"/>
        <scheme val="minor"/>
      </rPr>
      <t>DDA</t>
    </r>
  </si>
  <si>
    <t>Analog Reference and Analog Power</t>
  </si>
  <si>
    <t>Analog Reference GND and Analog Power GND</t>
  </si>
  <si>
    <r>
      <t>V</t>
    </r>
    <r>
      <rPr>
        <vertAlign val="subscript"/>
        <sz val="11"/>
        <color theme="1"/>
        <rFont val="Calibri"/>
        <family val="2"/>
        <scheme val="minor"/>
      </rPr>
      <t>SS</t>
    </r>
  </si>
  <si>
    <t>Digital GND</t>
  </si>
  <si>
    <r>
      <t>V</t>
    </r>
    <r>
      <rPr>
        <vertAlign val="subscript"/>
        <sz val="11"/>
        <color theme="1"/>
        <rFont val="Calibri"/>
        <family val="2"/>
        <scheme val="minor"/>
      </rPr>
      <t>DDP</t>
    </r>
  </si>
  <si>
    <t>Digital Power, Peripherals</t>
  </si>
  <si>
    <t>Digital Power, Core</t>
  </si>
  <si>
    <r>
      <t>V</t>
    </r>
    <r>
      <rPr>
        <vertAlign val="subscript"/>
        <sz val="11"/>
        <color theme="1"/>
        <rFont val="Calibri"/>
        <family val="2"/>
        <scheme val="minor"/>
      </rPr>
      <t>DDC</t>
    </r>
  </si>
  <si>
    <t>Digital Power, Battery</t>
  </si>
  <si>
    <r>
      <t>V</t>
    </r>
    <r>
      <rPr>
        <vertAlign val="subscript"/>
        <sz val="11"/>
        <color theme="1"/>
        <rFont val="Calibri"/>
        <family val="2"/>
        <scheme val="minor"/>
      </rPr>
      <t>BAT</t>
    </r>
  </si>
  <si>
    <r>
      <t>w.r.t Digital GND (V</t>
    </r>
    <r>
      <rPr>
        <vertAlign val="subscript"/>
        <sz val="11"/>
        <color theme="1"/>
        <rFont val="Calibri"/>
        <family val="2"/>
        <scheme val="minor"/>
      </rPr>
      <t>SS</t>
    </r>
    <r>
      <rPr>
        <sz val="11"/>
        <color theme="1"/>
        <rFont val="Calibri"/>
        <family val="2"/>
        <scheme val="minor"/>
      </rPr>
      <t>)</t>
    </r>
  </si>
  <si>
    <t>Generated Internally</t>
  </si>
  <si>
    <t>Multiplexor</t>
  </si>
  <si>
    <t>Multiplexor IC's</t>
  </si>
  <si>
    <t>https://www.onsemi.com/pub/Collateral/NLAST4051-D.PDF</t>
  </si>
  <si>
    <t>Vcc = 3 to 7V, Vee = -7 to 0V, Digital Lo &lt; 0.8V, Digital Hi &gt; 2V</t>
  </si>
  <si>
    <t>Table 20</t>
  </si>
  <si>
    <r>
      <t>V</t>
    </r>
    <r>
      <rPr>
        <vertAlign val="subscript"/>
        <sz val="11"/>
        <color theme="1"/>
        <rFont val="Calibri"/>
        <family val="2"/>
        <scheme val="minor"/>
      </rPr>
      <t xml:space="preserve">AIN </t>
    </r>
  </si>
  <si>
    <t>Table 25</t>
  </si>
  <si>
    <t>Multiplexors</t>
  </si>
  <si>
    <t>Table 15</t>
  </si>
  <si>
    <t>Cmrr</t>
  </si>
  <si>
    <t>https://www.digikey.com/product-detail/en/texas-instruments/TSV914AIPWR/296-52172-2-ND/8503546</t>
  </si>
  <si>
    <t>25pA Typical shown in graph at 85C; yet MAX is not specified anywhere in datasheet. Table says 1pA typical at 25C.     ST has a version of this part and they say 1typ/10max at 25C and 100max over temp !!</t>
  </si>
  <si>
    <t>530typ, 750max per channel at 25C;    800uA max over temp</t>
  </si>
  <si>
    <t>530typ, 750max per channel at 25C;    1100uA max over temp</t>
  </si>
  <si>
    <t>60mV to (Vcc-60mV) 2K load;   open loop gain wants +-150mV headroom</t>
  </si>
  <si>
    <r>
      <t>TSV914</t>
    </r>
    <r>
      <rPr>
        <sz val="11"/>
        <color theme="9"/>
        <rFont val="Calibri"/>
        <family val="2"/>
        <scheme val="minor"/>
      </rPr>
      <t>A</t>
    </r>
    <r>
      <rPr>
        <sz val="11"/>
        <color theme="1"/>
        <rFont val="Calibri"/>
        <family val="2"/>
        <scheme val="minor"/>
      </rPr>
      <t>IPWR, TI</t>
    </r>
  </si>
  <si>
    <t xml:space="preserve">80min / 103typ dB cmrr for -0.1 to (Vcc-1.4) over temp, 5.5V supply.   Or 57min / 87typ dB cmrr for vin = -0.1 to (Vcc+0.1) over temp. </t>
  </si>
  <si>
    <t>7.5mV for non-A ($.40), and 3mV for A ($.54)</t>
  </si>
  <si>
    <t>TSV914A or no-A</t>
  </si>
  <si>
    <t xml:space="preserve">97typ (min not specified) dB cmrr for vin = -0.1 to (Vcc-1.4) over temp.      Or, 63min / 77typ dB cmrr for -0.1 to (Vcc+0.1) over temp, 5.5V supply.  </t>
  </si>
  <si>
    <t>1 typ (max not specified)</t>
  </si>
  <si>
    <t>5 max over temp</t>
  </si>
  <si>
    <t>https://www.digikey.com/product-detail/en/texas-instruments/TLV9054IPWR/296-TLV9054IPWRTR-ND/10434682</t>
  </si>
  <si>
    <t>2 max over temp</t>
  </si>
  <si>
    <t>40pA Typical shown in graph at 85C; yet MAX is not specified anywhere in datasheet. Table says 2pA typical at 25C.</t>
  </si>
  <si>
    <t xml:space="preserve">80min / 96typ dB cmrr for -0.1 to (Vcc-1.4) over temp, 5.5V supply.   Or 62min / 79typ dB cmrr for vin = -0.1 to (Vcc+0.1) over temp. </t>
  </si>
  <si>
    <t>330typ, 450max per channel at 25C;    475uA max over temp</t>
  </si>
  <si>
    <t xml:space="preserve"> -0.1 to (Vcc+0.1); yet cmrr is better with +1.4V +Headroom</t>
  </si>
  <si>
    <t>40mV to (Vcc-60mV) 2K load;   open loop gain wants +-150mV headroom</t>
  </si>
  <si>
    <t>Arrow $.41</t>
  </si>
  <si>
    <t>Max current into any pin = 5mA (due to over-voltage), Max to Group is 20mA</t>
  </si>
  <si>
    <t>analog comparator, per channel</t>
  </si>
  <si>
    <t>Table 33</t>
  </si>
  <si>
    <t>Comparator and 10bit D/A, per channel</t>
  </si>
  <si>
    <t>Table 30</t>
  </si>
  <si>
    <t>12bit D/A, per channel</t>
  </si>
  <si>
    <t>12bit A/D, per channel</t>
  </si>
  <si>
    <t># of channels</t>
  </si>
  <si>
    <t>Total mA</t>
  </si>
  <si>
    <t>Note: 80dB is 300uV error given 3V cmv shift and 60dB is 3mV error given 3V shift</t>
  </si>
  <si>
    <t>75mV to (Vcc-75mV) 2K load;   open loop gain wants +-150mV headroom</t>
  </si>
  <si>
    <t>75typ, 125max per channel at 25C;    150uA max over temp</t>
  </si>
  <si>
    <t>Vcc &lt; 5.5V recommended (6V absolute max);  75typ / 150mx uA per channel quiesent over temp</t>
  </si>
  <si>
    <t>(Vcc - Vee) &lt; 5.5V recommended (6V absolute max);  560typ / 800mx uA per channel quiesent over temp</t>
  </si>
  <si>
    <t>0.5 typ (max not specified)</t>
  </si>
  <si>
    <t>Note: 50C x 3uV = 150uV</t>
  </si>
  <si>
    <t>Note: 50C x 6uV = 300uV</t>
  </si>
  <si>
    <t>Leakage</t>
  </si>
  <si>
    <t>https://www.digikey.com/product-detail/en/toshiba-semiconductor-and-storage/74VHC4051AFT/74VHC4051AFTTR-ND/4780912</t>
  </si>
  <si>
    <t>12nSec max with 5Vpwr and 50pF Cload</t>
  </si>
  <si>
    <t>46ohm max over temp with 4.5Vpwr, no headroom (Toshiba datasheet, 2nd table showing 85C)</t>
  </si>
  <si>
    <t>18ohm max difference BETWEEN switches (not flatness) over temp with 4.5Vpwr and no headroom (Toshiba datasheet, 2nd table showing 85C)</t>
  </si>
  <si>
    <r>
      <t>R</t>
    </r>
    <r>
      <rPr>
        <vertAlign val="subscript"/>
        <sz val="9"/>
        <color theme="1"/>
        <rFont val="Calibri Light"/>
        <family val="2"/>
      </rPr>
      <t xml:space="preserve">ON </t>
    </r>
    <r>
      <rPr>
        <sz val="9"/>
        <color theme="1"/>
        <rFont val="Calibri Light"/>
        <family val="2"/>
      </rPr>
      <t>Flatness</t>
    </r>
  </si>
  <si>
    <r>
      <rPr>
        <sz val="9"/>
        <color theme="1"/>
        <rFont val="Calibri"/>
        <family val="2"/>
      </rPr>
      <t>Δ</t>
    </r>
    <r>
      <rPr>
        <sz val="9"/>
        <color theme="1"/>
        <rFont val="Calibri Light"/>
        <family val="2"/>
      </rPr>
      <t>R</t>
    </r>
    <r>
      <rPr>
        <vertAlign val="subscript"/>
        <sz val="9"/>
        <color theme="1"/>
        <rFont val="Calibri Light"/>
        <family val="2"/>
      </rPr>
      <t xml:space="preserve">ON </t>
    </r>
    <r>
      <rPr>
        <sz val="9"/>
        <color theme="1"/>
        <rFont val="Calibri Light"/>
        <family val="2"/>
      </rPr>
      <t>Between Switches</t>
    </r>
  </si>
  <si>
    <r>
      <t>R</t>
    </r>
    <r>
      <rPr>
        <vertAlign val="subscript"/>
        <sz val="9"/>
        <color theme="1"/>
        <rFont val="Calibri Light"/>
        <family val="2"/>
      </rPr>
      <t>ON</t>
    </r>
    <r>
      <rPr>
        <sz val="9"/>
        <color theme="1"/>
        <rFont val="Calibri Light"/>
        <family val="2"/>
      </rPr>
      <t xml:space="preserve"> Max Over Temp, &lt;85</t>
    </r>
    <r>
      <rPr>
        <sz val="9"/>
        <color theme="1"/>
        <rFont val="Calibri"/>
        <family val="2"/>
      </rPr>
      <t>°</t>
    </r>
    <r>
      <rPr>
        <sz val="9"/>
        <color theme="1"/>
        <rFont val="Calibri Light"/>
        <family val="2"/>
      </rPr>
      <t>C</t>
    </r>
  </si>
  <si>
    <r>
      <t>R</t>
    </r>
    <r>
      <rPr>
        <vertAlign val="subscript"/>
        <sz val="11"/>
        <color theme="1"/>
        <rFont val="Calibri"/>
        <family val="2"/>
        <scheme val="minor"/>
      </rPr>
      <t>ON</t>
    </r>
  </si>
  <si>
    <r>
      <t>R</t>
    </r>
    <r>
      <rPr>
        <vertAlign val="subscript"/>
        <sz val="11"/>
        <color theme="1"/>
        <rFont val="Calibri"/>
        <family val="2"/>
        <scheme val="minor"/>
      </rPr>
      <t xml:space="preserve">ON </t>
    </r>
    <r>
      <rPr>
        <sz val="11"/>
        <color theme="1"/>
        <rFont val="Calibri"/>
        <family val="2"/>
        <scheme val="minor"/>
      </rPr>
      <t>Flatness</t>
    </r>
  </si>
  <si>
    <r>
      <rPr>
        <sz val="11"/>
        <color theme="1"/>
        <rFont val="Calibri"/>
        <family val="2"/>
        <scheme val="minor"/>
      </rPr>
      <t>ΔR</t>
    </r>
    <r>
      <rPr>
        <vertAlign val="subscript"/>
        <sz val="11"/>
        <color theme="1"/>
        <rFont val="Calibri"/>
        <family val="2"/>
        <scheme val="minor"/>
      </rPr>
      <t>ON</t>
    </r>
    <r>
      <rPr>
        <sz val="11"/>
        <color theme="1"/>
        <rFont val="Calibri"/>
        <family val="2"/>
        <scheme val="minor"/>
      </rPr>
      <t xml:space="preserve"> </t>
    </r>
    <r>
      <rPr>
        <sz val="9"/>
        <color theme="1"/>
        <rFont val="Calibri"/>
        <family val="2"/>
        <scheme val="minor"/>
      </rPr>
      <t>Between Switches</t>
    </r>
  </si>
  <si>
    <t>Power &amp; Digital</t>
  </si>
  <si>
    <t>Node</t>
  </si>
  <si>
    <t>Range</t>
  </si>
  <si>
    <t>DetectOvervoltage</t>
  </si>
  <si>
    <t>measure -700mV to look for over-current when diode is ON</t>
  </si>
  <si>
    <t>RT0603DRC0710KL</t>
  </si>
  <si>
    <t>https://www.digikey.com/product-detail/en/yageo/RT1206FRD071ML/RT1206FRD071ML-ND/5938451</t>
  </si>
  <si>
    <t>RT1206FRD071ML</t>
  </si>
  <si>
    <t>Vout with compensation</t>
  </si>
  <si>
    <t>TI.com has spice yet Vee Tied To Gnd via Spice code and I cannot undo this</t>
  </si>
  <si>
    <t>https://www.digikey.com/product-detail/en/toshiba-semiconductor-and-storage/74VHC4066AFT/74VHC4066AFTTR-ND/9866002</t>
  </si>
  <si>
    <t>74VHC4066AFT</t>
  </si>
  <si>
    <t>4x SPST</t>
  </si>
  <si>
    <t>https://www.digikey.com/product-detail/en/texas-instruments/SN74LV4066APWR/296-3836-2-ND/374757</t>
  </si>
  <si>
    <t>SN74LV4066APWR</t>
  </si>
  <si>
    <t>55min for Vin = 0 to Vcc (no headroom) at Over Temp, 3.3Vcc.       Or, 60min / 78typ dB cmrr for Vin = 0 to Vcc (no headroom), 3.3Vcc at 25C.</t>
  </si>
  <si>
    <t>Precision Resistors</t>
  </si>
  <si>
    <t>See Table above "Resistor, thin film"</t>
  </si>
  <si>
    <t>https://www.digikey.com/product-detail/en/susumu/RG2012N-103-D-T5/RG2012N-103-D-T5-ND/1268596</t>
  </si>
  <si>
    <t>RG2012N-103-D</t>
  </si>
  <si>
    <t>https://www.digikey.com/product-detail/en/stackpole-electronics-inc/RNCF0805BKT10K0/RNCF0805BKT10K0TR-ND/1711521</t>
  </si>
  <si>
    <t>RNCF0805BKT10K0</t>
  </si>
  <si>
    <t>100 or 150</t>
  </si>
  <si>
    <t>https://www.digikey.com/product-detail/en/stackpole-electronics-inc/RNCF0805DTE10K0/RNCF0805DTE10K0TR-ND/1708247</t>
  </si>
  <si>
    <t>RNCF0805DTE10K0</t>
  </si>
  <si>
    <t>200 or 300</t>
  </si>
  <si>
    <t>https://www.digikey.com/product-detail/en/bourns-inc/CRT0805-BY-1002EST/CRT0805-BY-1002ESTTR-ND/7928086</t>
  </si>
  <si>
    <t>CRT0805-BY-1002EST</t>
  </si>
  <si>
    <t>Stackpole has complex chart that shows voltage as a function of resistance and accuracy. Panasonic summarize w/ "100V" for all.  Yageo &amp; Bourns &amp; Susumu summarize w/ "150V" for all.</t>
  </si>
  <si>
    <t>9mV mx over temp 5Vcc (TI datasheet)</t>
  </si>
  <si>
    <t>25nA typ 250nA max @ 25C,  400nA max @ 85C,  5Vcc (TI datasheet)</t>
  </si>
  <si>
    <t>quies per channel, uA,</t>
  </si>
  <si>
    <t>87uA/ch (350/4) max over temp</t>
  </si>
  <si>
    <t>150uA/ch max over temp</t>
  </si>
  <si>
    <t>Diodes Inc is $0.10, TI is $.23</t>
  </si>
  <si>
    <t>LMV393</t>
  </si>
  <si>
    <t>https://www.digikey.com/product-detail/en/diodes-incorporated/LMV393S-13/LMV393S-13DITR-ND/4869031</t>
  </si>
  <si>
    <t>MachXo3 FPGA LVCMOS25R33 Input is Hi if Din &gt; (vRef+0.1) and Lo if Din &lt; (vRef-0.1); and vRef = 1.1 to 1.4V. For details on vRef, search "Input Reference Voltage" in "MachXO3 sysIO Usage Guide"</t>
  </si>
  <si>
    <t>http://www.latticesemi.com/-/media/LatticeSemi/Documents/ApplicationNotes/MO/MachXO3sysIOUsageGuide.ashx?document_id=50125</t>
  </si>
  <si>
    <t>MachXo3 FPGA (LCMXO3L)</t>
  </si>
  <si>
    <r>
      <t>Pull Up/Down is 30uA to 300uA (3V / 10K</t>
    </r>
    <r>
      <rPr>
        <sz val="11"/>
        <color theme="1"/>
        <rFont val="Calibri"/>
        <family val="2"/>
      </rPr>
      <t>Ω = 300µA, 3V / 100KΩ = 30µA)</t>
    </r>
  </si>
  <si>
    <t>http://www.latticesemi.com/view_document?document_id=50121</t>
  </si>
  <si>
    <t>Less Important: Filter_Output, Inductor_Left, Inductor_Right</t>
  </si>
  <si>
    <t>Important: PV_Voltage, Vout</t>
  </si>
  <si>
    <t>Cin is tied to filter and PV and I am not sure how this works.</t>
  </si>
  <si>
    <r>
      <t>Op amp at 1m</t>
    </r>
    <r>
      <rPr>
        <sz val="11"/>
        <color theme="1"/>
        <rFont val="Calibri"/>
        <family val="2"/>
      </rPr>
      <t>Ω can drive FPGA  LVCMOS25R33 Input (vRef = 1.25V)</t>
    </r>
  </si>
  <si>
    <t>BAS16L, $0.013, sot23, 100V, 4pF, 6nS, 0.3uA/50V/85C</t>
  </si>
  <si>
    <t>FPGA Detection via Analog Hardware to FPGA input (sense resistors and zeners, effects FPGA logic, can possibly cause interrupt)</t>
  </si>
  <si>
    <t>Analog Monitoring via 3rd A/D during dc/dc conversion (e.g. 1mSec per sample)</t>
  </si>
  <si>
    <t>2.5Vref, all vCal voltages, calibrate voltage measurement system</t>
  </si>
  <si>
    <t xml:space="preserve"> &gt; Detect Over Voltage (&gt; 85 V)</t>
  </si>
  <si>
    <t xml:space="preserve"> &gt; Detect Input &gt; 20Amps</t>
  </si>
  <si>
    <t xml:space="preserve"> &gt; Detect Output &gt; 20Amps</t>
  </si>
  <si>
    <t xml:space="preserve"> &gt; Lo1, Lo2, Gate Leakage Current</t>
  </si>
  <si>
    <t xml:space="preserve"> &gt; Lo1, Hi1, Lo2, Hi2  Ron Resistance</t>
  </si>
  <si>
    <t xml:space="preserve"> &gt; Cin, Cout Capacitance</t>
  </si>
  <si>
    <t xml:space="preserve"> &gt; L Inductance</t>
  </si>
  <si>
    <t xml:space="preserve"> &gt; vCal Voltages</t>
  </si>
  <si>
    <t xml:space="preserve"> -0.1V to Vpwr-0.8 cmmr</t>
  </si>
  <si>
    <t>TI/ST/DiodesInc all specify Leakage current; Yet OnSemi does not !!!   Arrow ST #LMV339IPT Tssop14 is $0.14</t>
  </si>
  <si>
    <t>https://www.digikey.com/product-detail/en/stmicroelectronics/LMV339IPT/497-13018-2-ND/3306167</t>
  </si>
  <si>
    <t>LMV339IPT (TI Tssop is costly, OnSemi datasheet is screwy, ST #LMV339IPT tssop14 arrow price is $0.14 and looks good)</t>
  </si>
  <si>
    <t>10Vpwr, 10VaboveMe, 3.3Vpwr, 5Vpwr</t>
  </si>
  <si>
    <t xml:space="preserve"> &gt; Diagnostic Voltages</t>
  </si>
  <si>
    <t>lots of diagnostic voltages</t>
  </si>
  <si>
    <t>Detect &gt; 3V (+-1V), 400nSec Delay, works OK, $0.06/channel</t>
  </si>
  <si>
    <t>Detect &gt; 88V (+-4V), 400nSec Delay, works OK, $0.06/channel</t>
  </si>
  <si>
    <t>arrow $1.40</t>
  </si>
  <si>
    <t>Current and Voltage Measurements</t>
  </si>
  <si>
    <t>Vin Hi Mi</t>
  </si>
  <si>
    <t>Vin Lo Max</t>
  </si>
  <si>
    <t>1uA leakage x 100 ohms @ 85C = +-100uV offset error, varies depending on signal voltage (similar to 100uV/3V = 90dB cmrr), mostly at high temperatures (perhaps +-30uV with &lt; 65C and +-1V headroom?)</t>
  </si>
  <si>
    <t>NLAST4051 Mux, $0.35</t>
  </si>
  <si>
    <t>74VHC4051 Mux, $0.11</t>
  </si>
  <si>
    <t>https://www.planetanalog.com/stability-issues-and-resolutions-for-high-speed-voltage-feedback-op-amps-insight-6/</t>
  </si>
  <si>
    <t>https://e2e.ti.com/blogs_/b/analogwire/archive/2017/08/01/do-it-yourself-three-ways-to-stabilize-op-amp-capacitive-loads</t>
  </si>
  <si>
    <r>
      <t>Stability Issues and Resolutions for High Speed Voltage Feedback Op Amps</t>
    </r>
    <r>
      <rPr>
        <sz val="11"/>
        <color rgb="FFFF0000"/>
        <rFont val="Calibri"/>
        <family val="2"/>
        <scheme val="minor"/>
      </rPr>
      <t xml:space="preserve"> (see references at bottom)</t>
    </r>
  </si>
  <si>
    <t>Three ways to stabilize Op Amp</t>
  </si>
  <si>
    <t>16bit, delta sigma, $1.61, 60s/sec</t>
  </si>
  <si>
    <t>Tosiba and OnSemi does not have Spice.  Toshiba has good price yet OnSemi does not.   Arrow $0.085/5K Toshia #74VHC4051AFT Tssop.</t>
  </si>
  <si>
    <t>http://www.vishay.com/docs/69685/dg4051e.pdf</t>
  </si>
  <si>
    <t>Extensive Datasheet:</t>
  </si>
  <si>
    <t>NX3L4051</t>
  </si>
  <si>
    <t>4.3V</t>
  </si>
  <si>
    <t>https://www.digikey.com/product-detail/en/nxp-usa-inc/NX3L4051PW-118/568-12393-2-ND/3679433</t>
  </si>
  <si>
    <t>arrow $.33</t>
  </si>
  <si>
    <r>
      <t>140</t>
    </r>
    <r>
      <rPr>
        <sz val="9"/>
        <color theme="1"/>
        <rFont val="Calibri"/>
        <family val="2"/>
      </rPr>
      <t>Ω</t>
    </r>
    <r>
      <rPr>
        <sz val="9"/>
        <color theme="1"/>
        <rFont val="Calibri Light"/>
        <family val="2"/>
      </rPr>
      <t>, 4Vpwr</t>
    </r>
  </si>
  <si>
    <t>100Ω max over temp with 4.5Vpwr, no headroom</t>
  </si>
  <si>
    <t>20Ω max over temp with 4.5Vpwr and no headroom</t>
  </si>
  <si>
    <t>97Ω, 3Vpwr</t>
  </si>
  <si>
    <t>108Ω, 3Vpwr</t>
  </si>
  <si>
    <t xml:space="preserve">46Ω max at &lt;85C with 4.5Vpwr, no headroom  </t>
  </si>
  <si>
    <t>18Ω max difference BETWEEN switches (not flatness) &lt;85C with 4.5Vpwr and 1.5V +Headroom</t>
  </si>
  <si>
    <t>5Ω max flatness &lt;85C with 4.5Vpwr and +-1V +-Headroom</t>
  </si>
  <si>
    <t>0.9Ω max over temp, 0V/0V -+Headroom</t>
  </si>
  <si>
    <t>0.13Ω max difference BETWEEN switches (not flatness) &lt;85C with 4.3Vpwr, 0V/0V -+Headroom</t>
  </si>
  <si>
    <t xml:space="preserve">0.45Ω max flatness &lt;85C with 4.3Vpwr, 0V/0V -+Headroom  </t>
  </si>
  <si>
    <t>FPGA Detects Voltage (e.g. PvVoltage &gt; 3V) and Over Voltage (e.g. PvVoltage &gt; 88V)</t>
  </si>
  <si>
    <t>DC-to-DC Converter References</t>
  </si>
  <si>
    <t>https://www.digikey.com/product-detail/en/texas-instruments/TMUX1208RSVR/296-53258-2-ND/9861511</t>
  </si>
  <si>
    <t>TMUX1208</t>
  </si>
  <si>
    <t>arrow $.37</t>
  </si>
  <si>
    <t>1Ω max difference BETWEEN switches (not flatness) &lt;85C with 5Vpwr, 0V/0V -+Headroom</t>
  </si>
  <si>
    <t>7Ω max over temp, 0V/0V -+Headroom, 5Vpwr</t>
  </si>
  <si>
    <r>
      <t>5</t>
    </r>
    <r>
      <rPr>
        <sz val="9"/>
        <color theme="6"/>
        <rFont val="Calibri Light"/>
        <family val="2"/>
      </rPr>
      <t>n</t>
    </r>
    <r>
      <rPr>
        <sz val="9"/>
        <color theme="1"/>
        <rFont val="Calibri Light"/>
        <family val="2"/>
      </rPr>
      <t>A</t>
    </r>
  </si>
  <si>
    <r>
      <t>200</t>
    </r>
    <r>
      <rPr>
        <sz val="9"/>
        <color theme="6"/>
        <rFont val="Calibri Light"/>
        <family val="2"/>
      </rPr>
      <t>n</t>
    </r>
    <r>
      <rPr>
        <sz val="9"/>
        <color theme="1"/>
        <rFont val="Calibri Light"/>
        <family val="2"/>
      </rPr>
      <t>A Max at 85C, 40nA Max at 25C (not typical), +-0.3V headroom, Vin = (Vee+0.3) to (Vcc-0.3)</t>
    </r>
  </si>
  <si>
    <r>
      <t>500</t>
    </r>
    <r>
      <rPr>
        <sz val="9"/>
        <color theme="6"/>
        <rFont val="Calibri Light"/>
        <family val="2"/>
      </rPr>
      <t>n</t>
    </r>
    <r>
      <rPr>
        <sz val="9"/>
        <color theme="1"/>
        <rFont val="Calibri Light"/>
        <family val="2"/>
      </rPr>
      <t>A Max at 85C, 200nA Typ at 25C (not Max) -1V/+0.5 -+Headroom, Vin = (Vee+1) to (Vcc-0.5)</t>
    </r>
  </si>
  <si>
    <r>
      <t>10</t>
    </r>
    <r>
      <rPr>
        <sz val="9"/>
        <color theme="6"/>
        <rFont val="Calibri Light"/>
        <family val="2"/>
      </rPr>
      <t>n</t>
    </r>
    <r>
      <rPr>
        <sz val="9"/>
        <color theme="1"/>
        <rFont val="Calibri Light"/>
        <family val="2"/>
      </rPr>
      <t>A</t>
    </r>
  </si>
  <si>
    <t>https://www.digikey.com/product-detail/en/vishay-beyschlag/ACASA1002S1002P100/749-1023-2-ND/4725773</t>
  </si>
  <si>
    <r>
      <t>ACASA1002</t>
    </r>
    <r>
      <rPr>
        <sz val="11"/>
        <color theme="9"/>
        <rFont val="Calibri"/>
        <family val="2"/>
        <scheme val="minor"/>
      </rPr>
      <t>S</t>
    </r>
    <r>
      <rPr>
        <sz val="11"/>
        <color theme="1"/>
        <rFont val="Calibri"/>
        <family val="2"/>
        <scheme val="minor"/>
      </rPr>
      <t>1002P100</t>
    </r>
  </si>
  <si>
    <t>arrow $.29, digi $0.23</t>
  </si>
  <si>
    <t>µVos</t>
  </si>
  <si>
    <t>µVos/C</t>
  </si>
  <si>
    <r>
      <t>V</t>
    </r>
    <r>
      <rPr>
        <vertAlign val="subscript"/>
        <sz val="9"/>
        <color theme="1"/>
        <rFont val="Calibri Light"/>
        <family val="2"/>
      </rPr>
      <t>OUT</t>
    </r>
  </si>
  <si>
    <r>
      <t>2</t>
    </r>
    <r>
      <rPr>
        <sz val="9"/>
        <color rgb="FFFF0000"/>
        <rFont val="Calibri"/>
        <family val="2"/>
      </rPr>
      <t>µ</t>
    </r>
    <r>
      <rPr>
        <sz val="9"/>
        <color theme="1"/>
        <rFont val="Calibri Light"/>
        <family val="2"/>
      </rPr>
      <t>A @ 85°C</t>
    </r>
  </si>
  <si>
    <r>
      <t>1</t>
    </r>
    <r>
      <rPr>
        <sz val="9"/>
        <color rgb="FFFF0000"/>
        <rFont val="Calibri Light"/>
        <family val="2"/>
      </rPr>
      <t>µ</t>
    </r>
    <r>
      <rPr>
        <sz val="9"/>
        <color theme="1"/>
        <rFont val="Calibri Light"/>
        <family val="2"/>
      </rPr>
      <t>A over temp with I/O voltage at Vee or Vcc (i.e. with no headroom), 5.5Vcc</t>
    </r>
  </si>
  <si>
    <t>Email from Vishay tech support said they did not have Spice.</t>
  </si>
  <si>
    <t>Volts Drop</t>
  </si>
  <si>
    <t>FB Cap pF</t>
  </si>
  <si>
    <t>Freq Response (Cap in parallel With Rfb):</t>
  </si>
  <si>
    <t>Rfb</t>
  </si>
  <si>
    <r>
      <t>5</t>
    </r>
    <r>
      <rPr>
        <sz val="9"/>
        <color theme="6"/>
        <rFont val="Calibri Light"/>
        <family val="2"/>
      </rPr>
      <t>n</t>
    </r>
    <r>
      <rPr>
        <sz val="9"/>
        <color theme="1"/>
        <rFont val="Calibri Light"/>
        <family val="2"/>
      </rPr>
      <t>A Max at 85C, 0.1nA Max at 25C (not typical), +-1V headroom, Vin = (Vee+1) to (Vcc-1), OtherPins NotSpecified (?)</t>
    </r>
  </si>
  <si>
    <t>TI has Tina SPICE !!!</t>
  </si>
  <si>
    <t>https://www.digikey.com/product-detail/en/vishay-siliconix/DG408LEDN-T1-GE4/DG408LEDN-T1-GE4TR-ND/5995260</t>
  </si>
  <si>
    <t>DG4051EEQ, Vishay</t>
  </si>
  <si>
    <t>DG408LE, Vishay</t>
  </si>
  <si>
    <t>12V</t>
  </si>
  <si>
    <r>
      <t>5</t>
    </r>
    <r>
      <rPr>
        <sz val="9"/>
        <color theme="6"/>
        <rFont val="Calibri Light"/>
        <family val="2"/>
      </rPr>
      <t>n</t>
    </r>
    <r>
      <rPr>
        <sz val="9"/>
        <color theme="1"/>
        <rFont val="Calibri Light"/>
        <family val="2"/>
      </rPr>
      <t>A Max at 85C, 1nA Max at 25C (not typical), +-1V headroom, Vin = (Vee+1) to (Vcc-1), OtherPins NotSpecified (?)</t>
    </r>
  </si>
  <si>
    <t>Rfb (ohms)</t>
  </si>
  <si>
    <t>Rg Max current mA</t>
  </si>
  <si>
    <t>Rg Max Power mW</t>
  </si>
  <si>
    <t>Vref at Op Amp IN+ (V)</t>
  </si>
  <si>
    <r>
      <t>OpAmp Vout  Vin=Max (</t>
    </r>
    <r>
      <rPr>
        <sz val="9"/>
        <color theme="1"/>
        <rFont val="Calibri"/>
        <family val="2"/>
      </rPr>
      <t>V</t>
    </r>
    <r>
      <rPr>
        <sz val="9"/>
        <color theme="1"/>
        <rFont val="Calibri Light"/>
        <family val="2"/>
      </rPr>
      <t>)</t>
    </r>
  </si>
  <si>
    <t>OpAmp Out Error (mV)</t>
  </si>
  <si>
    <t xml:space="preserve">      Vout Range</t>
  </si>
  <si>
    <t>Error Due to Leakage Current</t>
  </si>
  <si>
    <t>Op Amp Vos (V)</t>
  </si>
  <si>
    <t>Min Vref at Op Amp IN+ (V)</t>
  </si>
  <si>
    <t>Max Vref at Op Amp IN+ (V)</t>
  </si>
  <si>
    <t>Measurement</t>
  </si>
  <si>
    <t>https://www.digikey.com/product-detail/en/panasonic-electronic-components/ERA-3ARW103V/P10KBETR-ND/3073684</t>
  </si>
  <si>
    <t>ERA-3ARW103V</t>
  </si>
  <si>
    <t>2nd source is NLVAST4051DTR2G (similar yet greener), Vishay DG4051EEQ. OnSemi does not have spice. Analog Devices ADG408 has spice yet that is a different part. Tssop14 is Stock &amp; Active, Yet Soic14 is not active.  Arrow $0.28 Tssop</t>
  </si>
  <si>
    <t>25pA max over temp, 5Vcc</t>
  </si>
  <si>
    <t>82mV to (Vcc-82mV), open loop gain wants -+0.3V -+Headroom</t>
  </si>
  <si>
    <t>buy LMV794 (dual, for current shunts)</t>
  </si>
  <si>
    <t>ti.com has pspice</t>
  </si>
  <si>
    <t>LMV794</t>
  </si>
  <si>
    <t xml:space="preserve">  2 channel version of the above</t>
  </si>
  <si>
    <t>ti.com has pspice, arrow $0.78</t>
  </si>
  <si>
    <t>NO SPEC, yet sim shows 300nSec</t>
  </si>
  <si>
    <t xml:space="preserve">Op Amp Max Vout </t>
  </si>
  <si>
    <t>Headroom at Clamp, V</t>
  </si>
  <si>
    <t>Clamp turns On, V</t>
  </si>
  <si>
    <r>
      <t>Vdrop across R</t>
    </r>
    <r>
      <rPr>
        <vertAlign val="subscript"/>
        <sz val="9"/>
        <color theme="1"/>
        <rFont val="Calibri Light"/>
        <family val="2"/>
      </rPr>
      <t>PROTECT</t>
    </r>
  </si>
  <si>
    <r>
      <t>R</t>
    </r>
    <r>
      <rPr>
        <vertAlign val="subscript"/>
        <sz val="9"/>
        <color theme="1"/>
        <rFont val="Calibri Light"/>
        <family val="2"/>
      </rPr>
      <t>PROTECT</t>
    </r>
    <r>
      <rPr>
        <sz val="9"/>
        <color theme="1"/>
        <rFont val="Calibri Light"/>
        <family val="2"/>
      </rPr>
      <t xml:space="preserve">   (Ω)</t>
    </r>
  </si>
  <si>
    <t>mW Power Total</t>
  </si>
  <si>
    <r>
      <t>Pwr Burned R</t>
    </r>
    <r>
      <rPr>
        <vertAlign val="subscript"/>
        <sz val="9"/>
        <color theme="1"/>
        <rFont val="Calibri Light"/>
        <family val="2"/>
      </rPr>
      <t>PROTECT</t>
    </r>
    <r>
      <rPr>
        <sz val="9"/>
        <color theme="1"/>
        <rFont val="Calibri Light"/>
        <family val="2"/>
      </rPr>
      <t xml:space="preserve"> mW</t>
    </r>
  </si>
  <si>
    <r>
      <t>Current R</t>
    </r>
    <r>
      <rPr>
        <vertAlign val="subscript"/>
        <sz val="9"/>
        <color theme="1"/>
        <rFont val="Calibri Light"/>
        <family val="2"/>
      </rPr>
      <t>PROTECT</t>
    </r>
    <r>
      <rPr>
        <sz val="9"/>
        <color theme="1"/>
        <rFont val="Calibri Light"/>
        <family val="2"/>
      </rPr>
      <t xml:space="preserve"> mA</t>
    </r>
  </si>
  <si>
    <t>https://www.digikey.com/product-detail/en/riedon/CSRL3-0R0005F8/696-1832-2-ND/9666047</t>
  </si>
  <si>
    <t>CSRL3-0R0005F8</t>
  </si>
  <si>
    <t>mV-per-Amp Sensitivity</t>
  </si>
  <si>
    <t>Buck Converter Simulations</t>
  </si>
  <si>
    <t>DC-to-DC Converter Input filter</t>
  </si>
  <si>
    <t>DC-to-DC Converter Design Trade-offs</t>
  </si>
  <si>
    <t>Vcc &lt; 5.5V recommended (6V absolute max)</t>
  </si>
  <si>
    <t>vRef IC</t>
  </si>
  <si>
    <r>
      <t xml:space="preserve"># of </t>
    </r>
    <r>
      <rPr>
        <sz val="9"/>
        <color theme="1"/>
        <rFont val="Calibri"/>
        <family val="2"/>
      </rPr>
      <t>°</t>
    </r>
    <r>
      <rPr>
        <sz val="9"/>
        <color theme="1"/>
        <rFont val="Calibri Light"/>
        <family val="2"/>
      </rPr>
      <t>C change</t>
    </r>
  </si>
  <si>
    <t>ppm/°C max</t>
  </si>
  <si>
    <t>Voltage Ref Output</t>
  </si>
  <si>
    <t>OpAmp Out Min V</t>
  </si>
  <si>
    <t>OpAmp Out Max V</t>
  </si>
  <si>
    <t>MAX6070BAUT33+T</t>
  </si>
  <si>
    <t>Long Term</t>
  </si>
  <si>
    <t>40ppm 1000Hrs 25°C</t>
  </si>
  <si>
    <r>
      <t>Op Amp V</t>
    </r>
    <r>
      <rPr>
        <vertAlign val="subscript"/>
        <sz val="9"/>
        <color theme="1"/>
        <rFont val="Calibri Light"/>
        <family val="2"/>
      </rPr>
      <t>OS</t>
    </r>
    <r>
      <rPr>
        <sz val="9"/>
        <color theme="1"/>
        <rFont val="Calibri Light"/>
        <family val="2"/>
      </rPr>
      <t xml:space="preserve"> Buffr Max V</t>
    </r>
  </si>
  <si>
    <t xml:space="preserve">MCP3461 16bit A/D </t>
  </si>
  <si>
    <t>ADR3433ARJZ-R7</t>
  </si>
  <si>
    <r>
      <t>Rout (</t>
    </r>
    <r>
      <rPr>
        <sz val="9"/>
        <color theme="1"/>
        <rFont val="Calibri"/>
        <family val="2"/>
      </rPr>
      <t>Ω</t>
    </r>
    <r>
      <rPr>
        <sz val="9"/>
        <color theme="1"/>
        <rFont val="Calibri Light"/>
        <family val="2"/>
      </rPr>
      <t>) @ 100KHz</t>
    </r>
  </si>
  <si>
    <r>
      <t>1</t>
    </r>
    <r>
      <rPr>
        <sz val="9"/>
        <color theme="1"/>
        <rFont val="Calibri"/>
        <family val="2"/>
      </rPr>
      <t>Ω</t>
    </r>
    <r>
      <rPr>
        <sz val="9"/>
        <color theme="1"/>
        <rFont val="Calibri Light"/>
        <family val="2"/>
      </rPr>
      <t xml:space="preserve"> output impedance at 100KHz, 1MHz is not specified yet we see it going up (10Ω at 1MHz???), Cout is not specified in graph (perhaps this is better if you add Cout?)</t>
    </r>
  </si>
  <si>
    <t>3Ω @ 10KHz, 2Ω @ 100KHz, 0.2Ω @ 1MHz -- with 1.1uF Cout</t>
  </si>
  <si>
    <r>
      <t>We measure at Factory therefore accuracy is determined by vRef IC ppm/</t>
    </r>
    <r>
      <rPr>
        <sz val="11"/>
        <color theme="1"/>
        <rFont val="Calibri"/>
        <family val="2"/>
      </rPr>
      <t>°</t>
    </r>
    <r>
      <rPr>
        <sz val="11"/>
        <color theme="1"/>
        <rFont val="Calibri Light"/>
        <family val="2"/>
      </rPr>
      <t>C drift (8ppm/°C x 3.3V = 26uV) and Op Amp Buffer 10uV/°C max (2uV/°C typical) drift</t>
    </r>
  </si>
  <si>
    <t>LD3985M33R</t>
  </si>
  <si>
    <t>Output Cap min ESR mΩ</t>
  </si>
  <si>
    <t>Headroom Dropout (V)</t>
  </si>
  <si>
    <t>https://www.digikey.com/product-detail/en/texas-instruments/TLV74133PDBVR/296-48987-2-ND/7604412</t>
  </si>
  <si>
    <t>TLV74133PDBVR</t>
  </si>
  <si>
    <t>Year Designed</t>
  </si>
  <si>
    <t>TI has pspice yet I could not get it to work ?!?</t>
  </si>
  <si>
    <t>46mV typical @ 30mA  over temp,   230/420mV typ/max at 150mA  over temp</t>
  </si>
  <si>
    <r>
      <t>AV</t>
    </r>
    <r>
      <rPr>
        <vertAlign val="subscript"/>
        <sz val="11"/>
        <color theme="1"/>
        <rFont val="Calibri"/>
        <family val="2"/>
        <scheme val="minor"/>
      </rPr>
      <t>DD</t>
    </r>
  </si>
  <si>
    <t>Table 14</t>
  </si>
  <si>
    <t xml:space="preserve">BAS16HT3G </t>
  </si>
  <si>
    <t xml:space="preserve">BAS16LT </t>
  </si>
  <si>
    <t>1 Diode, Small Signal, SOT-23 (2.4 x 3mm) or SOD-323 (1.3 x 2.7mm)</t>
  </si>
  <si>
    <t>SOD323 (1x diodes, 1.3 x 2.7mm)</t>
  </si>
  <si>
    <t>SOT23 (1x diodes, 2.4 x 3mm)</t>
  </si>
  <si>
    <t>https://www.digikey.com/product-detail/en/nexperia-usa-inc/BAT54S-235/1727-1868-2-ND/1232122</t>
  </si>
  <si>
    <t>BAT54S</t>
  </si>
  <si>
    <t>we have spice</t>
  </si>
  <si>
    <t>10pF per diode</t>
  </si>
  <si>
    <t>2µA max @ 25V/25°C,   graph shows 35uA typ @ 10V/85°C</t>
  </si>
  <si>
    <r>
      <t>0.4Vf max @ 10mA/25</t>
    </r>
    <r>
      <rPr>
        <sz val="9"/>
        <color theme="1"/>
        <rFont val="Calibri"/>
        <family val="2"/>
      </rPr>
      <t>°</t>
    </r>
    <r>
      <rPr>
        <sz val="9"/>
        <color theme="1"/>
        <rFont val="Calibri Light"/>
        <family val="2"/>
      </rPr>
      <t>C,     graph shows 0.15Vf typ @ 1mA/85°C,     graph shows 0.32Vf typ @ 1mA/25°C</t>
    </r>
  </si>
  <si>
    <r>
      <t>DV</t>
    </r>
    <r>
      <rPr>
        <vertAlign val="subscript"/>
        <sz val="11"/>
        <color theme="1"/>
        <rFont val="Calibri"/>
        <family val="2"/>
        <scheme val="minor"/>
      </rPr>
      <t>DD</t>
    </r>
  </si>
  <si>
    <t>Datasheet Min (V)</t>
  </si>
  <si>
    <t>Datasheet Typ (V)</t>
  </si>
  <si>
    <t>Datasheet Max (V)</t>
  </si>
  <si>
    <t>Vpwr- Min (V)</t>
  </si>
  <si>
    <t>Vpwr- Typ (V)</t>
  </si>
  <si>
    <t>Vpwr- Max (V)</t>
  </si>
  <si>
    <t>Pwr Accuracy</t>
  </si>
  <si>
    <t>Xmc42xx Digital I/O</t>
  </si>
  <si>
    <t>3.45V...5.5V, 150mV max drop out over temp (i.e. needs +150mV headroom)</t>
  </si>
  <si>
    <t>150 mV @ 10 mA Dropout Voltage (headroom), yet datasheet says this is where output drops by 0.2% !!!</t>
  </si>
  <si>
    <t>Drop Out Voltage</t>
  </si>
  <si>
    <t>Power Supply Strategy</t>
  </si>
  <si>
    <t>Power To IC's Strategy</t>
  </si>
  <si>
    <t>Vpwr+ Min (V)</t>
  </si>
  <si>
    <t>Vpwr+ Max (V)</t>
  </si>
  <si>
    <t>Initial Acc OT max %</t>
  </si>
  <si>
    <t>DC-to-DC converter output, #R1SE-0505-H2-R</t>
  </si>
  <si>
    <t>5V_Unreg (Dc-to-Dc output)</t>
  </si>
  <si>
    <t>Comment</t>
  </si>
  <si>
    <t>Xmc42xx</t>
  </si>
  <si>
    <t>16bit a/d</t>
  </si>
  <si>
    <t>Mux IC</t>
  </si>
  <si>
    <t>drop to 3.6V</t>
  </si>
  <si>
    <t>Primary Op Amp IC</t>
  </si>
  <si>
    <t>Other Op Amp IC</t>
  </si>
  <si>
    <t>https://www.digikey.com/product-detail/en/taiyo-yuden/NRS4018T101MDGJ/587-6091-2-ND/5215121</t>
  </si>
  <si>
    <t>NRS4018T101MDGJ</t>
  </si>
  <si>
    <t xml:space="preserve"> -25 to 125C</t>
  </si>
  <si>
    <t>TLV71736PDQNR</t>
  </si>
  <si>
    <t>https://www.digikey.com/product-detail/en/texas-instruments/TLV71736PDQNR/296-30491-2-ND/3431377</t>
  </si>
  <si>
    <t>4-X2SON (1x1)</t>
  </si>
  <si>
    <t>TPS782</t>
  </si>
  <si>
    <t>https://www.digikey.com/product-detail/en/texas-instruments/TPS78236DDCR/296-36848-2-ND/3074523</t>
  </si>
  <si>
    <t>TI has pSpice -- I have not tried it</t>
  </si>
  <si>
    <t>65mV typical @ 50mA  over temp, more drop-out with more current</t>
  </si>
  <si>
    <t>https://www.digikey.com/product-detail/en/texas-instruments/TLV70036DDCR/296-40611-2-ND/3727089</t>
  </si>
  <si>
    <t>TLV70036DDCR</t>
  </si>
  <si>
    <t xml:space="preserve">46mV typical @ 50mA  over temp </t>
  </si>
  <si>
    <t>vReg IC Headroom</t>
  </si>
  <si>
    <t>vReg IC Min Vin (V)</t>
  </si>
  <si>
    <t>AP2138</t>
  </si>
  <si>
    <t>3.0% max over temp and load</t>
  </si>
  <si>
    <r>
      <t>A</t>
    </r>
    <r>
      <rPr>
        <vertAlign val="subscript"/>
        <sz val="9"/>
        <color theme="1"/>
        <rFont val="Calibri Light"/>
        <family val="2"/>
      </rPr>
      <t xml:space="preserve">VDD </t>
    </r>
    <r>
      <rPr>
        <sz val="9"/>
        <color theme="1"/>
        <rFont val="Calibri Light"/>
        <family val="2"/>
      </rPr>
      <t>= 3.6V</t>
    </r>
  </si>
  <si>
    <r>
      <t>V</t>
    </r>
    <r>
      <rPr>
        <vertAlign val="subscript"/>
        <sz val="9"/>
        <color theme="1"/>
        <rFont val="Calibri Light"/>
        <family val="2"/>
      </rPr>
      <t xml:space="preserve">CC </t>
    </r>
    <r>
      <rPr>
        <sz val="9"/>
        <color theme="1"/>
        <rFont val="Calibri Light"/>
        <family val="2"/>
      </rPr>
      <t>= 3.6V</t>
    </r>
  </si>
  <si>
    <t>Vpwr+ Typ  (V)</t>
  </si>
  <si>
    <t>Mux want -+1V headroom to support leakage current and Ron specifications, i.e. 0 to 3.3V Vin range means -1V / 4.3V pwr</t>
  </si>
  <si>
    <t>AD794 +-30mV Shunt Amplifier</t>
  </si>
  <si>
    <r>
      <t>abs max is V</t>
    </r>
    <r>
      <rPr>
        <vertAlign val="subscript"/>
        <sz val="11"/>
        <color theme="1"/>
        <rFont val="Calibri"/>
        <family val="2"/>
        <scheme val="minor"/>
      </rPr>
      <t>DDP</t>
    </r>
    <r>
      <rPr>
        <sz val="11"/>
        <color theme="1"/>
        <rFont val="Calibri"/>
        <family val="2"/>
        <scheme val="minor"/>
      </rPr>
      <t>+1V (digital pwr)</t>
    </r>
  </si>
  <si>
    <r>
      <t>Alt V</t>
    </r>
    <r>
      <rPr>
        <vertAlign val="subscript"/>
        <sz val="11"/>
        <color theme="1"/>
        <rFont val="Calibri"/>
        <family val="2"/>
        <scheme val="minor"/>
      </rPr>
      <t>AREF</t>
    </r>
  </si>
  <si>
    <t>Alternative Analog Reference (tied to Ch0)</t>
  </si>
  <si>
    <r>
      <t>&lt; (V</t>
    </r>
    <r>
      <rPr>
        <vertAlign val="subscript"/>
        <sz val="11"/>
        <color theme="1"/>
        <rFont val="Calibri"/>
        <family val="2"/>
        <scheme val="minor"/>
      </rPr>
      <t xml:space="preserve">DDA </t>
    </r>
    <r>
      <rPr>
        <sz val="11"/>
        <color theme="1"/>
        <rFont val="Calibri"/>
        <family val="2"/>
        <scheme val="minor"/>
      </rPr>
      <t>+ 0.05V), 3.3Vref is ok w/ 3.6V</t>
    </r>
    <r>
      <rPr>
        <vertAlign val="subscript"/>
        <sz val="11"/>
        <color theme="1"/>
        <rFont val="Calibri"/>
        <family val="2"/>
        <scheme val="minor"/>
      </rPr>
      <t>DDA</t>
    </r>
    <r>
      <rPr>
        <sz val="11"/>
        <color theme="1"/>
        <rFont val="Calibri"/>
        <family val="2"/>
        <scheme val="minor"/>
      </rPr>
      <t xml:space="preserve"> </t>
    </r>
  </si>
  <si>
    <r>
      <t>(3% x range) &lt; V</t>
    </r>
    <r>
      <rPr>
        <vertAlign val="subscript"/>
        <sz val="11"/>
        <color theme="1"/>
        <rFont val="Calibri"/>
        <family val="2"/>
        <scheme val="minor"/>
      </rPr>
      <t>AIN</t>
    </r>
    <r>
      <rPr>
        <sz val="11"/>
        <color theme="1"/>
        <rFont val="Calibri"/>
        <family val="2"/>
        <scheme val="minor"/>
      </rPr>
      <t xml:space="preserve"> &lt; (97% * 3.6V</t>
    </r>
    <r>
      <rPr>
        <vertAlign val="subscript"/>
        <sz val="11"/>
        <color theme="1"/>
        <rFont val="Calibri"/>
        <family val="2"/>
        <scheme val="minor"/>
      </rPr>
      <t>DDA</t>
    </r>
    <r>
      <rPr>
        <sz val="11"/>
        <color theme="1"/>
        <rFont val="Calibri"/>
        <family val="2"/>
        <scheme val="minor"/>
      </rPr>
      <t>) for -100 to 200nA leakage, if V</t>
    </r>
    <r>
      <rPr>
        <vertAlign val="subscript"/>
        <sz val="11"/>
        <color theme="1"/>
        <rFont val="Calibri"/>
        <family val="2"/>
        <scheme val="minor"/>
      </rPr>
      <t>AIN</t>
    </r>
    <r>
      <rPr>
        <sz val="11"/>
        <color theme="1"/>
        <rFont val="Calibri"/>
        <family val="2"/>
        <scheme val="minor"/>
      </rPr>
      <t xml:space="preserve"> &lt; 100mV you get 500nA leakage</t>
    </r>
  </si>
  <si>
    <r>
      <t xml:space="preserve"> = 3% x 3.5V (3.5V is V</t>
    </r>
    <r>
      <rPr>
        <vertAlign val="subscript"/>
        <sz val="11"/>
        <color theme="1"/>
        <rFont val="Calibri"/>
        <family val="2"/>
        <scheme val="minor"/>
      </rPr>
      <t>DDA</t>
    </r>
    <r>
      <rPr>
        <sz val="11"/>
        <color theme="1"/>
        <rFont val="Calibri"/>
        <family val="2"/>
        <scheme val="minor"/>
      </rPr>
      <t xml:space="preserve"> min)</t>
    </r>
  </si>
  <si>
    <r>
      <t xml:space="preserve"> = 97% x 3.5V (3.5V is V</t>
    </r>
    <r>
      <rPr>
        <vertAlign val="subscript"/>
        <sz val="11"/>
        <color theme="1"/>
        <rFont val="Calibri"/>
        <family val="2"/>
        <scheme val="minor"/>
      </rPr>
      <t>DDA</t>
    </r>
    <r>
      <rPr>
        <sz val="11"/>
        <color theme="1"/>
        <rFont val="Calibri"/>
        <family val="2"/>
        <scheme val="minor"/>
      </rPr>
      <t xml:space="preserve"> min)</t>
    </r>
  </si>
  <si>
    <t>Xmc42xx Power Requirements (datasheet, not our design)</t>
  </si>
  <si>
    <t>Xmc42xx Analog Inputs (datasheet, not our design)</t>
  </si>
  <si>
    <t>Op Amp IC's</t>
  </si>
  <si>
    <t>Vout = (Vee+0.15) to (Vcc-0.15) for 130dB open loop gain</t>
  </si>
  <si>
    <t>Vout = 82mV to (Vcc-82mV),   open loop gain wants -+300mV Vout -+Headroom</t>
  </si>
  <si>
    <t>Vin = (Vee-0.1) to (Vcc+0.1)</t>
  </si>
  <si>
    <t xml:space="preserve">80min / 103typ dB cmrr for (Vee-0.1) to (Vcc-1.4) over temp, 5.5V supply.   Or 57min / 87typ dB cmrr for vin = -0.1 to (Vcc+0.1) over temp. </t>
  </si>
  <si>
    <t>160/300 typ/max at 100mA</t>
  </si>
  <si>
    <t>&gt; 1µF with ESR from 0.01Ω to 100Ω</t>
  </si>
  <si>
    <t>Switching Voltage Regulator (external Inductor, 2x R's)</t>
  </si>
  <si>
    <t>Charge Pump Voltage Regulator (external flying Capacitor, 2x R's)</t>
  </si>
  <si>
    <t>Vout Chg Due to Load</t>
  </si>
  <si>
    <t>TI has pSpice -- I have not tried it (also has TINA .mod yet for 3.3Vout)</t>
  </si>
  <si>
    <r>
      <t>min esr not specified, yet they say they want Cap with &lt; 0.2</t>
    </r>
    <r>
      <rPr>
        <sz val="11"/>
        <color theme="1"/>
        <rFont val="Calibri"/>
        <family val="2"/>
      </rPr>
      <t>Ω ESR</t>
    </r>
  </si>
  <si>
    <t>Pwr Filter Output (100mVdrop @ 50mA)</t>
  </si>
  <si>
    <t>Analog Power Filter has 100mV drop with 50mA load</t>
  </si>
  <si>
    <t>3.3V vRef IC</t>
  </si>
  <si>
    <t>sits between 4.8V DC-to-DC output and op amps want 1.3V +Headroom</t>
  </si>
  <si>
    <t>Vout = (Vee+0.15) to (Vcc-0.15) for 128dB open loop gain</t>
  </si>
  <si>
    <t>Vin = (Vee-0.1) to (Vcc - 1.0);    Also, CMRR prefers +1.4V +Headroom</t>
  </si>
  <si>
    <t>Vin = (Vee-0.3) to to (Vcc-1000mV) Datasheet refers to this as "Common Mode Range", cmrr wants -0V/+1.3V -+Headroom</t>
  </si>
  <si>
    <t>A/D IC and Xmc42xx max pwr is 3.6V</t>
  </si>
  <si>
    <t>3.3Vref</t>
  </si>
  <si>
    <t>OpAmp Out Accuracy</t>
  </si>
  <si>
    <r>
      <t>Xmc42xx V</t>
    </r>
    <r>
      <rPr>
        <vertAlign val="subscript"/>
        <sz val="11"/>
        <color theme="1"/>
        <rFont val="Calibri"/>
        <family val="2"/>
        <scheme val="minor"/>
      </rPr>
      <t>AREF</t>
    </r>
    <r>
      <rPr>
        <sz val="11"/>
        <color theme="1"/>
        <rFont val="Calibri"/>
        <family val="2"/>
        <scheme val="minor"/>
      </rPr>
      <t xml:space="preserve"> (V</t>
    </r>
    <r>
      <rPr>
        <vertAlign val="subscript"/>
        <sz val="11"/>
        <color theme="1"/>
        <rFont val="Calibri"/>
        <family val="2"/>
        <scheme val="minor"/>
      </rPr>
      <t>DDA</t>
    </r>
    <r>
      <rPr>
        <sz val="11"/>
        <color theme="1"/>
        <rFont val="Calibri"/>
        <family val="2"/>
        <scheme val="minor"/>
      </rPr>
      <t>)</t>
    </r>
  </si>
  <si>
    <t>AGND</t>
  </si>
  <si>
    <t>MSB Voltage Min (V)</t>
  </si>
  <si>
    <t>MSB Voltage Typ (V)</t>
  </si>
  <si>
    <t>MSB Volts Max (V)</t>
  </si>
  <si>
    <r>
      <t xml:space="preserve">quies-per-amp over temp </t>
    </r>
    <r>
      <rPr>
        <sz val="9"/>
        <color theme="1"/>
        <rFont val="Calibri"/>
        <family val="2"/>
      </rPr>
      <t>µ</t>
    </r>
    <r>
      <rPr>
        <sz val="9"/>
        <color theme="1"/>
        <rFont val="Calibri Light"/>
        <family val="2"/>
      </rPr>
      <t>A</t>
    </r>
  </si>
  <si>
    <t>slew rate V/µSec</t>
  </si>
  <si>
    <t>overload recovery µS</t>
  </si>
  <si>
    <t>quesent µA</t>
  </si>
  <si>
    <t>noise .1 to 10Hz µVpp</t>
  </si>
  <si>
    <t>noise 10Hz..10kHz µVrms</t>
  </si>
  <si>
    <t>Vpwr µP-side Volts</t>
  </si>
  <si>
    <t>µP-side Quies mA</t>
  </si>
  <si>
    <r>
      <t>Xmc42xx Alternate V</t>
    </r>
    <r>
      <rPr>
        <vertAlign val="subscript"/>
        <sz val="11"/>
        <color theme="1"/>
        <rFont val="Calibri"/>
        <family val="2"/>
        <scheme val="minor"/>
      </rPr>
      <t>AREF</t>
    </r>
    <r>
      <rPr>
        <vertAlign val="subscript"/>
        <sz val="11"/>
        <color theme="1"/>
        <rFont val="Calibri"/>
        <family val="2"/>
        <scheme val="minor"/>
      </rPr>
      <t/>
    </r>
  </si>
  <si>
    <t>LSB Volts Typ (V)</t>
  </si>
  <si>
    <t>Xmc42xx Ain Clamp</t>
  </si>
  <si>
    <t>MCP3461 Ain Clamp</t>
  </si>
  <si>
    <r>
      <t>Analog Measurement Range (w.r.t. 16bit a/d and Xmc4xxx a/d A</t>
    </r>
    <r>
      <rPr>
        <b/>
        <vertAlign val="subscript"/>
        <sz val="11"/>
        <color theme="6"/>
        <rFont val="Calibri"/>
        <family val="2"/>
        <scheme val="minor"/>
      </rPr>
      <t>IN</t>
    </r>
    <r>
      <rPr>
        <b/>
        <sz val="11"/>
        <color theme="6"/>
        <rFont val="Calibri"/>
        <family val="2"/>
        <scheme val="minor"/>
      </rPr>
      <t>)</t>
    </r>
  </si>
  <si>
    <t>Analog Clamping Protects A/D IC Input from over-current</t>
  </si>
  <si>
    <t>Op Amps that drive A/D IC that have Vcc = 3.6V do not need Vcc clamp since A/D IC's (both Mcp3561 and Xmc42xx) are powered by 3.6V.</t>
  </si>
  <si>
    <t>If 3.3V Digital Power does not come up, then we turn off 4.5V analog power, so that digital does not overdrive analog ic's</t>
  </si>
  <si>
    <t>FPGA can detect 3.0V from digital and use that to enable 4.5Vpwr vReg along with bit set by microprocessor.</t>
  </si>
  <si>
    <t>Gating Analog Power with Digital Power and Microprocessor</t>
  </si>
  <si>
    <t>Sources Of Measurement Error</t>
  </si>
  <si>
    <t>Our design has Input CMV = -30mV to +230V and Output = -230mV to 3.281V, Vee/Vcc = -1Vpwr / +3.6Vpwr, A/D and Xmc4200 have same 3.6Vpwr so we don't need to protect from 3.6V overdrive</t>
  </si>
  <si>
    <r>
      <t>MCP3461 A/D 16bit AV</t>
    </r>
    <r>
      <rPr>
        <vertAlign val="subscript"/>
        <sz val="11"/>
        <color theme="1"/>
        <rFont val="Calibri"/>
        <family val="2"/>
        <scheme val="minor"/>
      </rPr>
      <t>DD</t>
    </r>
  </si>
  <si>
    <r>
      <t>MCP3461 A/D 16bit DV</t>
    </r>
    <r>
      <rPr>
        <vertAlign val="subscript"/>
        <sz val="11"/>
        <color theme="1"/>
        <rFont val="Calibri"/>
        <family val="2"/>
        <scheme val="minor"/>
      </rPr>
      <t>DD</t>
    </r>
  </si>
  <si>
    <t>3.3V_Dpwr (Digital)</t>
  </si>
  <si>
    <t>3.6V_Apwr (Analog)</t>
  </si>
  <si>
    <r>
      <t>Xmc42xx V</t>
    </r>
    <r>
      <rPr>
        <vertAlign val="subscript"/>
        <sz val="11"/>
        <color theme="1"/>
        <rFont val="Calibri"/>
        <family val="2"/>
        <scheme val="minor"/>
      </rPr>
      <t>DDP</t>
    </r>
    <r>
      <rPr>
        <sz val="11"/>
        <color theme="1"/>
        <rFont val="Calibri"/>
        <family val="2"/>
        <scheme val="minor"/>
      </rPr>
      <t xml:space="preserve"> (digital)</t>
    </r>
  </si>
  <si>
    <t>3.13 to 3.63 is accepable range</t>
  </si>
  <si>
    <r>
      <t>AV</t>
    </r>
    <r>
      <rPr>
        <vertAlign val="subscript"/>
        <sz val="11"/>
        <color theme="1"/>
        <rFont val="Calibri"/>
        <family val="2"/>
        <scheme val="minor"/>
      </rPr>
      <t>DD</t>
    </r>
    <r>
      <rPr>
        <sz val="11"/>
        <color theme="1"/>
        <rFont val="Calibri"/>
        <family val="2"/>
        <scheme val="minor"/>
      </rPr>
      <t xml:space="preserve"> =</t>
    </r>
  </si>
  <si>
    <r>
      <t>DV</t>
    </r>
    <r>
      <rPr>
        <vertAlign val="subscript"/>
        <sz val="11"/>
        <color theme="1"/>
        <rFont val="Calibri"/>
        <family val="2"/>
        <scheme val="minor"/>
      </rPr>
      <t>DD</t>
    </r>
    <r>
      <rPr>
        <sz val="11"/>
        <color theme="1"/>
        <rFont val="Calibri"/>
        <family val="2"/>
        <scheme val="minor"/>
      </rPr>
      <t xml:space="preserve"> =</t>
    </r>
  </si>
  <si>
    <t>RefIn+-</t>
  </si>
  <si>
    <t>3.3Vpwr (NOT USED)</t>
  </si>
  <si>
    <t>TPS76301</t>
  </si>
  <si>
    <t>adj</t>
  </si>
  <si>
    <t>https://www.digikey.com/product-detail/en/diodes-incorporated/AP2202K-ADJTRG1/AP2202K-ADJTRG1DITR-ND/4470808</t>
  </si>
  <si>
    <t>100mV max at 50mA output over temp according to TPS76350</t>
  </si>
  <si>
    <t>230mV max at 50mA output over temp</t>
  </si>
  <si>
    <t>AP2318</t>
  </si>
  <si>
    <t>TS5205</t>
  </si>
  <si>
    <t>150mV max at 50mA at 25C</t>
  </si>
  <si>
    <t>https://www.digikey.com/product-detail/en/stmicroelectronics/LDK220C-R/497-15437-2-ND/5237150</t>
  </si>
  <si>
    <t>60mV typ at 50mA across temp, according to Figure 15</t>
  </si>
  <si>
    <t>LDK220C-R</t>
  </si>
  <si>
    <t>3.2% Total = (3.0% max over temp and load) + (0.2% for 2x 0.1% Resistors)</t>
  </si>
  <si>
    <t>3.35% Total = (3.0% max over temp) + (0.15% for load) + (0.2% for 2x 0.1% Resistors)</t>
  </si>
  <si>
    <t>2.4% max over temp and load = (2% max over temp at 10mA)   +   (15mV change from load (.015/3.6=0.4%))</t>
  </si>
  <si>
    <t>2.5% max over temp and load = (2% initial accuracy at 25C and 40mA load)  +  (0.5% from uV/C  temp drift)</t>
  </si>
  <si>
    <t>2.0% max over temp and load = (1.5% max over temp at 10mA)   +   (20mV change from load (.02/3.6=0.5%))</t>
  </si>
  <si>
    <t>https://www.digikey.com/product-detail/en/texas-instruments/LP2985AIM5X-4-5-NOPB/296-37596-2-ND/1872514</t>
  </si>
  <si>
    <t>LP2985AIM5X-4-5</t>
  </si>
  <si>
    <t>2.5% Total = (2.5% max over temp and load)</t>
  </si>
  <si>
    <t>225mV Max at 50mA across temp according to table</t>
  </si>
  <si>
    <t>4.3V_Apwr (Analog)</t>
  </si>
  <si>
    <t>350mV typ at 600mA at 25C (dropout at less current is not specified !!)</t>
  </si>
  <si>
    <t>AP2202K-ADJTRG1</t>
  </si>
  <si>
    <t>2.8% Total = (2% max over temp) + (0.5% for load) + (0.3% for 2x 0.1% Resistors)</t>
  </si>
  <si>
    <t>no decent parts with 4.3V or 4.4V fixed output</t>
  </si>
  <si>
    <t>Vcc = 3.3V to 5.5V, no Vee, Digital Lo &lt; (Vcc x 0.3) (&lt; 0.6V with -1.0/4.3Vcc), Digital Hi &gt; (Vcc x 0.7) (&gt; 2.7V with -1.0/4.3Vcc), Ron better with 4.3Vcc than 3.3Vcc</t>
  </si>
  <si>
    <t>Tps62568</t>
  </si>
  <si>
    <t>TPS561201DDCR</t>
  </si>
  <si>
    <t>https://www.digikey.com/product-detail/en/texas-instruments/TPS561201DDCR/296-47885-2-ND/7312149</t>
  </si>
  <si>
    <t>we have TINA model and TINA sim, "TLV62568_TiReport_5V-to-3.3V_1W_NON_iso, v2.tsc"</t>
  </si>
  <si>
    <t>5.5 (bad)</t>
  </si>
  <si>
    <t>pSpice is at ti.com</t>
  </si>
  <si>
    <t>https://www.digikey.com/product-detail/en/taiyo-yuden/NR6028T330M/587-2631-2-ND/2349960</t>
  </si>
  <si>
    <t>6 x 6mm, 3mm hi</t>
  </si>
  <si>
    <t>NR6028T330M   (note that #NRS5040T330MMGJ is a little smaller and less ESR yet has 13wk lead time)</t>
  </si>
  <si>
    <t>https://www.digikey.com/product-detail/en/samsung-electro-mechanics/CL21B106KOQNNNF/CL21B106KOQNNNF-ND/3894471</t>
  </si>
  <si>
    <t>CL21B106KOQNNNF  (10%), or  CL31B106MOHNNNE (20%)</t>
  </si>
  <si>
    <t>Kemet #C0805C106K8RACTU (10V, 10uF, 0805, x7r, -55 to 125C)</t>
  </si>
  <si>
    <t>111mΩ @ 10K, 11mΩ @ 100KHz, 3mΩ @ 1MHz, 6mΩ @ 10MHz</t>
  </si>
  <si>
    <t>64mΩ @ 10K, 10mΩ @ 100KHz, 5mΩ @ 1MHz, 8mΩ @ 10MHz</t>
  </si>
  <si>
    <t>184mΩ @ 10K, 27mΩ @ 100KHz, 12mΩ @ 1MHz, 12mΩ @ 10MHz</t>
  </si>
  <si>
    <t>114mΩ @ 10K, 13mΩ @ 100KHz, 3mΩ @ 1MHz, 3mΩ @ 10MHz</t>
  </si>
  <si>
    <t>$0.035 for 10% 200K qty, $0.04 for 20% 3K qty, $0.03 for 10% 200K qty (CL21B106KOQNFNE)</t>
  </si>
  <si>
    <t>https://spicat.avx.com/product/mlcc/chartview/0805ZC106MAT2A</t>
  </si>
  <si>
    <t>Avx Sim</t>
  </si>
  <si>
    <t>https://www.vishay.com/how/design-support-tools/</t>
  </si>
  <si>
    <t>Vishay Spice Models (capacitors, mosfets)</t>
  </si>
  <si>
    <t>https://spicat.avx.com/mlcc</t>
  </si>
  <si>
    <t>AVX Capacitor Simulator</t>
  </si>
  <si>
    <t>Spice Model Data</t>
  </si>
  <si>
    <t>https://www.murata.com/en-us/tool/spicedata/netlist-mlcc</t>
  </si>
  <si>
    <t>Murata Spice Capacitor Models</t>
  </si>
  <si>
    <t>GRM21BR71A106KA73K</t>
  </si>
  <si>
    <t>Murata</t>
  </si>
  <si>
    <t>http://ksim.kemet.com/Default.aspx</t>
  </si>
  <si>
    <t>https://product.tdk.com/info/en/technicalsupport/tvcl/general/mlcc.html</t>
  </si>
  <si>
    <t>Capacitor Online Website Simulators (e.g. ESR)</t>
  </si>
  <si>
    <t>TDK Spice Capacitor Models (encrypted and therefore useless)</t>
  </si>
  <si>
    <t>Kemet # C0805C106M4PACTU (16V, 10uF, 0805, x7r, -55 to 125C)</t>
  </si>
  <si>
    <t>GRM31CR71E106KA12L</t>
  </si>
  <si>
    <t>no murata part</t>
  </si>
  <si>
    <t>GCJ188R71H104KA12D</t>
  </si>
  <si>
    <t>Kemet Sim</t>
  </si>
  <si>
    <t>C0603C104M5RACTU</t>
  </si>
  <si>
    <t>very good</t>
  </si>
  <si>
    <t>https://www.samsungsem.com/global/support/library/software-library.do</t>
  </si>
  <si>
    <t>http://weblib.samsungsem.com/mlcc/mlcc-ec.do</t>
  </si>
  <si>
    <t>Samsung Spice Capacitor Models</t>
  </si>
  <si>
    <t>big zip:</t>
  </si>
  <si>
    <t>selection table:</t>
  </si>
  <si>
    <t xml:space="preserve">  &gt; "Interactive" model is encrypted (bad), yet "Static Precise" is OK.</t>
  </si>
  <si>
    <t>3.3V vRef IC wants 150mV headroom yet that is for 0.2% accuracy, so we power with 4.3Vpwr and not 3.6Vpwr. 4.3Vpwr has 5mVpp ripple on it so we put 160Hz filter on input.</t>
  </si>
  <si>
    <r>
      <t>For single-ended reference applications, the REFIN- pin should be directly connected to AGND. Current and Z</t>
    </r>
    <r>
      <rPr>
        <vertAlign val="subscript"/>
        <sz val="11"/>
        <color theme="1"/>
        <rFont val="Calibri"/>
        <family val="2"/>
        <scheme val="minor"/>
      </rPr>
      <t>IN</t>
    </r>
    <r>
      <rPr>
        <sz val="11"/>
        <color theme="1"/>
        <rFont val="Calibri"/>
        <family val="2"/>
        <scheme val="minor"/>
      </rPr>
      <t xml:space="preserve"> not specified?</t>
    </r>
  </si>
  <si>
    <t>Tlv9064 digi $.49 (ti.com says $.42), Tlv9062 digi $.33, Tlv9062 digi $.21.  Arrow says Tlv9064 is $0.46</t>
  </si>
  <si>
    <t>https://www.digikey.com/product-detail/en/texas-instruments/TLV9004IPWR/296-51827-2-ND/9674912</t>
  </si>
  <si>
    <r>
      <t>Xmc42xx Analog Power Consumption (V</t>
    </r>
    <r>
      <rPr>
        <b/>
        <vertAlign val="subscript"/>
        <sz val="11"/>
        <color theme="6"/>
        <rFont val="Calibri"/>
        <family val="2"/>
        <scheme val="minor"/>
      </rPr>
      <t>AREF</t>
    </r>
    <r>
      <rPr>
        <b/>
        <sz val="11"/>
        <color theme="6"/>
        <rFont val="Calibri"/>
        <family val="2"/>
        <scheme val="minor"/>
      </rPr>
      <t xml:space="preserve"> = V</t>
    </r>
    <r>
      <rPr>
        <b/>
        <vertAlign val="subscript"/>
        <sz val="11"/>
        <color theme="6"/>
        <rFont val="Calibri"/>
        <family val="2"/>
        <scheme val="minor"/>
      </rPr>
      <t>DDA</t>
    </r>
    <r>
      <rPr>
        <b/>
        <sz val="11"/>
        <color theme="6"/>
        <rFont val="Calibri"/>
        <family val="2"/>
        <scheme val="minor"/>
      </rPr>
      <t>)</t>
    </r>
  </si>
  <si>
    <t>Analysis Params</t>
  </si>
  <si>
    <t xml:space="preserve">trunc error = 14 instead of 7, abs current error = 10n instead of 1n, time step = 100n instead of 100G, </t>
  </si>
  <si>
    <t>op amp</t>
  </si>
  <si>
    <t>TLV9064</t>
  </si>
  <si>
    <t>Cfb pF</t>
  </si>
  <si>
    <t>10n</t>
  </si>
  <si>
    <t>100pF 4KHz 2Vpp</t>
  </si>
  <si>
    <t>350 to 700uA</t>
  </si>
  <si>
    <t xml:space="preserve"> Observed Output Ripple (uVpp)</t>
  </si>
  <si>
    <t>Simulation: 3.3Vref_IC_and_OpAmp_Buffers, v2b, QuickSim SIMPLE CAPS.TSC</t>
  </si>
  <si>
    <r>
      <t xml:space="preserve">Cout </t>
    </r>
    <r>
      <rPr>
        <sz val="9"/>
        <color theme="1"/>
        <rFont val="Calibri"/>
        <family val="2"/>
      </rPr>
      <t>µ</t>
    </r>
    <r>
      <rPr>
        <sz val="9"/>
        <color theme="1"/>
        <rFont val="Calibri Light"/>
        <family val="2"/>
      </rPr>
      <t>F</t>
    </r>
  </si>
  <si>
    <t>470p</t>
  </si>
  <si>
    <t>100pF better behaved, 300uA switch oscillates</t>
  </si>
  <si>
    <t>100pF oscillates, 300uA switch oscillates</t>
  </si>
  <si>
    <t>TLV900x, LMV321 - 5mVpp ripple w/ 300uA switch and 3.5Vpwr (200mV headroom)</t>
  </si>
  <si>
    <t>TLV600x</t>
  </si>
  <si>
    <t>TLV600x handles pF yet not current, I gave it more headroom and that did not effect it.</t>
  </si>
  <si>
    <t>100p</t>
  </si>
  <si>
    <t>Vcc Pwr (V)</t>
  </si>
  <si>
    <t>0.5uV/C typ with TI part; and 5uV/C typical with ST part (ST part is 10x worse !!!)</t>
  </si>
  <si>
    <t>3mV for A ($.43).   Also Vos drift is 0.5uV/C typ with TI part; and 5uV/C typical with ST part (ST part is 10x worse !!!)</t>
  </si>
  <si>
    <t>Arrow $0.41 for TI A-version (3mVos, TI, not ST),  Note that ST and TI both have this and compete. However, Vos drift is 0.5uV/C typ with TI part; and 5uV/C typical with ST part (ST part is 10x worse !!!)</t>
  </si>
  <si>
    <t>TLV905x</t>
  </si>
  <si>
    <t>3n</t>
  </si>
  <si>
    <t>ringing dampens out quickly</t>
  </si>
  <si>
    <t>no ripple on 300uA switch, just goes up and then down</t>
  </si>
  <si>
    <t>50p</t>
  </si>
  <si>
    <t>low level - lots of osc - slow to dampen</t>
  </si>
  <si>
    <t>300uA switch - ringing dampens out quickly</t>
  </si>
  <si>
    <t>100pF switch - sharp ring then settles</t>
  </si>
  <si>
    <t>1n</t>
  </si>
  <si>
    <t>300uA switch - lots of ringing</t>
  </si>
  <si>
    <t>100pF switch - 3 big rings</t>
  </si>
  <si>
    <t>500p</t>
  </si>
  <si>
    <t>fast rings, 1msec to dampen out</t>
  </si>
  <si>
    <t>https://www.digikey.com/product-detail/en/texas-instruments/LM2665M6X-NOPB/LM2665M6X-NOPBTR-ND/366883</t>
  </si>
  <si>
    <t>LM2665M6X</t>
  </si>
  <si>
    <t>LM2664</t>
  </si>
  <si>
    <t>LM2660</t>
  </si>
  <si>
    <t>charge pump (flying capacitor), vout = +2vin (doubler), or vout = -vin (inverter), 40mA, Sot23-6</t>
  </si>
  <si>
    <t>MAX1720EUTG</t>
  </si>
  <si>
    <t>charge pump (flying capacitor), vout = +2vin (doubler), vout = +vin/2 (spliter), or vout = -vin (inverter), 40mA, Sot23-6</t>
  </si>
  <si>
    <t>charge pump (flying capacitor), vout = +2vin (doubler), 20mA, Sot23-6</t>
  </si>
  <si>
    <t>charge pump (flying capacitor), vout = +2vin (doubler), 40mA, Sot23-6</t>
  </si>
  <si>
    <t>Vout = 2Vin (doubler)</t>
  </si>
  <si>
    <t>charge pump (flying capacitor), Vout = +2Vin (doubler), vout = +vin/2 (spliter), 40mA, Sot23-6</t>
  </si>
  <si>
    <t>charge pump (flying capacitor), vout = +2vin (doubler), or Vout = -Vin (inverter), 100mA, Sot23-6</t>
  </si>
  <si>
    <r>
      <t>charge pump (flying capacitor), vout = +2vin (doubler), or vout = -vin (inverter), 25mA, Sot23-6, 65</t>
    </r>
    <r>
      <rPr>
        <sz val="9"/>
        <color theme="1"/>
        <rFont val="Calibri"/>
        <family val="2"/>
      </rPr>
      <t>Ω</t>
    </r>
    <r>
      <rPr>
        <sz val="9"/>
        <color theme="1"/>
        <rFont val="Calibri Light"/>
        <family val="2"/>
      </rPr>
      <t xml:space="preserve"> Rout @ 10mA over temp</t>
    </r>
  </si>
  <si>
    <t>Vout = 2Vin (doubler), or Vout = -Vin (inverter), Unregulated output</t>
  </si>
  <si>
    <t>Vout = Ratio * Vin, low mA, Unregulated output</t>
  </si>
  <si>
    <t>Inverter, Regulated output (set voltage with 2 resistors)</t>
  </si>
  <si>
    <t>LM27761</t>
  </si>
  <si>
    <t>MP1400GC-Z</t>
  </si>
  <si>
    <r>
      <t>vout = - vin * r1/r2, vout ranges from -0.9V to -5V, tiny bump package (</t>
    </r>
    <r>
      <rPr>
        <sz val="9"/>
        <color theme="9"/>
        <rFont val="Calibri Light"/>
        <family val="2"/>
      </rPr>
      <t>bad</t>
    </r>
    <r>
      <rPr>
        <sz val="9"/>
        <color theme="1"/>
        <rFont val="Calibri Light"/>
        <family val="2"/>
      </rPr>
      <t>)</t>
    </r>
  </si>
  <si>
    <r>
      <t>vout = - vin * r1/r2, vout ranges from -1.5V (</t>
    </r>
    <r>
      <rPr>
        <sz val="9"/>
        <color theme="9"/>
        <rFont val="Calibri Light"/>
        <family val="2"/>
      </rPr>
      <t>bad</t>
    </r>
    <r>
      <rPr>
        <sz val="9"/>
        <color theme="1"/>
        <rFont val="Calibri Light"/>
        <family val="2"/>
      </rPr>
      <t>) to -5V</t>
    </r>
  </si>
  <si>
    <t>LMR70503</t>
  </si>
  <si>
    <r>
      <t>vout = - vin * r1/r2, vout ranges from -0.9V to -5V, tiny bump package (</t>
    </r>
    <r>
      <rPr>
        <sz val="9"/>
        <color theme="9"/>
        <rFont val="Calibri Light"/>
        <family val="2"/>
      </rPr>
      <t>bad</t>
    </r>
    <r>
      <rPr>
        <sz val="9"/>
        <color theme="1"/>
        <rFont val="Calibri Light"/>
        <family val="2"/>
      </rPr>
      <t>), 280mA, uses external inductor</t>
    </r>
  </si>
  <si>
    <t>TPS63710</t>
  </si>
  <si>
    <t>similar to the above</t>
  </si>
  <si>
    <t>arrow $0.29, spice at ti.com</t>
  </si>
  <si>
    <t>LM337LMX</t>
  </si>
  <si>
    <t>https://www.digikey.com/product-detail/en/texas-instruments/LM337LMX-NOPB/LM337LMX-NOPBTR-ND/334905</t>
  </si>
  <si>
    <t>TPS60400</t>
  </si>
  <si>
    <t>no spice for any Tps6040x</t>
  </si>
  <si>
    <r>
      <t>SOT23 (</t>
    </r>
    <r>
      <rPr>
        <sz val="9"/>
        <color theme="9"/>
        <rFont val="Calibri Light"/>
        <family val="2"/>
      </rPr>
      <t>2x</t>
    </r>
    <r>
      <rPr>
        <sz val="9"/>
        <color theme="1"/>
        <rFont val="Calibri Light"/>
        <family val="2"/>
      </rPr>
      <t xml:space="preserve"> diodes, 2.4 x 3mm)</t>
    </r>
  </si>
  <si>
    <t>-Adj</t>
  </si>
  <si>
    <t>Negative, Adjustable, 100mA vReg (e.g. for "-1V_Apwr")</t>
  </si>
  <si>
    <t>arrow $0.26, pSpice at ti.com for "LM337N" (1.5A, Encrypted, Useless) yet not "LM337L" (100mA)</t>
  </si>
  <si>
    <t>TLV9004IPWR</t>
  </si>
  <si>
    <t>https://www.digikey.com/product-detail/en/bourns-inc/CAY16-3301F4LF/CAY16-3301F4LFTR-ND/2566565</t>
  </si>
  <si>
    <t>mW per element</t>
  </si>
  <si>
    <t>CAY16-3301F4LF (bourns, $0.01 digi) or RAVF164DFT3K30 (Stackpole, $0.015 digi)
 (</t>
  </si>
  <si>
    <t>Convert 4.3V_APwr to 3.3Vref and then buffer with op amps that can drive dynamic (changing) loads such as a/d inputs</t>
  </si>
  <si>
    <t>DESIGN: +3.3Vin to -1VDC, DC-to-DC Converter, non-isolated, regulated, 15mA output, create "-1V_APwr"</t>
  </si>
  <si>
    <t>1.24V Shunt Regulator, 0.25% accurate, SOT23-3</t>
  </si>
  <si>
    <t>https://www.digikey.com/product-detail/en/stmicroelectronics/TLVH431BIL3T/497-TLVH431BIL3TTR-ND/3516447</t>
  </si>
  <si>
    <t>ti has spice for TLV431 which is similar</t>
  </si>
  <si>
    <t>1.24V adj</t>
  </si>
  <si>
    <t>SOT-23-3</t>
  </si>
  <si>
    <t>Op Amp Buffer that drives dynamic loads (e.g. a/d ref input pin)</t>
  </si>
  <si>
    <t>Convert "3.3V_DPwr" to "-1V_APwr", 15mA output, no clock noise on output since it drives sensitive op amps and analog mux</t>
  </si>
  <si>
    <t>This also helps op amp drive 10uF capacitive loads</t>
  </si>
  <si>
    <t>You cannot use 4ch TLV9064 since our power supplies are goofy GND/-2.9V</t>
  </si>
  <si>
    <t>And there is no other negative adjustable LDO with low voltage output.</t>
  </si>
  <si>
    <t>https://www.digikey.com/product-detail/en/micro-commercial-co/BAT54TW-TP/BAT54TW-TPTR-ND/819608</t>
  </si>
  <si>
    <t>BAT54TW</t>
  </si>
  <si>
    <r>
      <t>0.4Vf max @ 10mA/25</t>
    </r>
    <r>
      <rPr>
        <sz val="9"/>
        <color theme="1"/>
        <rFont val="Calibri"/>
        <family val="2"/>
      </rPr>
      <t>°</t>
    </r>
    <r>
      <rPr>
        <sz val="9"/>
        <color theme="1"/>
        <rFont val="Calibri Light"/>
        <family val="2"/>
      </rPr>
      <t>C,  0.5Vf max @ 30mA/25°C,  1Vf max @ 100mA/25°C,    graph shows 0.2Vf typ @ 1mA/85°C,     graph shows 0.25Vf typ @ 1mA/25°C</t>
    </r>
  </si>
  <si>
    <t>Power Diode, 100Vr max, &lt; 6nSec, 250ma to 2A Avg Current, Schottky</t>
  </si>
  <si>
    <t xml:space="preserve"> &gt; Lm2664 converts 3.3V to MINUS 2.9V with 5mVpp 66KHz clock, which we filter 10x to 500uVpp sinewave.</t>
  </si>
  <si>
    <t xml:space="preserve"> &gt; We use shunt to create 1.0Vref which is fed into op amp.</t>
  </si>
  <si>
    <t xml:space="preserve"> &gt; Op amp is TLV9061 ($.22). We simulated lower cost op amps, yet none worked w/ 10mA dynamic loads.</t>
  </si>
  <si>
    <t xml:space="preserve"> &gt; Op amp can drive 50mA, and we are outputting 3mA to 15mA. We have 50Ω on output to help protect op amp.</t>
  </si>
  <si>
    <t xml:space="preserve"> &gt; One can bypass LM2664 switcher and disable it to speed up simulation dramatically and enable Nodal analysis -- this is very helpful.</t>
  </si>
  <si>
    <t xml:space="preserve"> &gt; There is 0.3Ω on output. This is 5mV drop with 15mA load. This is a big source of voltage out change when load changes.</t>
  </si>
  <si>
    <t xml:space="preserve"> &gt; LM337 vreg is an alternative yet it did not have much power supply rejection w/ little headroom (it wants 1.7V headroom !)</t>
  </si>
  <si>
    <t>Accuracy</t>
  </si>
  <si>
    <r>
      <t>+-85mV = 8.5% x 1V  = 1% (Op Amp 10mVos, 0.01V/1V = 1%) + 2% (1% + 1% shunt resistors) + 1% (TLV431 shunt) + 4.5% (0.3</t>
    </r>
    <r>
      <rPr>
        <sz val="11"/>
        <color theme="1"/>
        <rFont val="Calibri"/>
        <family val="2"/>
      </rPr>
      <t>Ω x 15mA = 45mV, 45mV/1V = 4.5%)</t>
    </r>
    <r>
      <rPr>
        <sz val="11"/>
        <color theme="1"/>
        <rFont val="Calibri"/>
        <family val="2"/>
        <scheme val="minor"/>
      </rPr>
      <t xml:space="preserve"> </t>
    </r>
  </si>
  <si>
    <t>TLVH431BIL3T</t>
  </si>
  <si>
    <t>3.3VLVC: Dout = 0.4V to Vcc-0.4V with 4..16mA load;    and 0.2V to Vcc-0.2V with 100uA load</t>
  </si>
  <si>
    <t>Vout hi min, 100uA load</t>
  </si>
  <si>
    <t>Table 22</t>
  </si>
  <si>
    <t>Vout hi min, 400uA load</t>
  </si>
  <si>
    <t>Vin min w/o damage</t>
  </si>
  <si>
    <t>Vin max w/o damage</t>
  </si>
  <si>
    <r>
      <t xml:space="preserve">Out low mx   </t>
    </r>
    <r>
      <rPr>
        <sz val="9"/>
        <color theme="1"/>
        <rFont val="Calibri"/>
        <family val="2"/>
      </rPr>
      <t>≤</t>
    </r>
    <r>
      <rPr>
        <sz val="9"/>
        <color theme="1"/>
        <rFont val="Calibri Light"/>
        <family val="2"/>
      </rPr>
      <t>2mA load</t>
    </r>
  </si>
  <si>
    <r>
      <t>Vout Hi Min = (V</t>
    </r>
    <r>
      <rPr>
        <vertAlign val="subscript"/>
        <sz val="9"/>
        <color theme="1"/>
        <rFont val="Calibri Light"/>
        <family val="2"/>
      </rPr>
      <t>DDP</t>
    </r>
    <r>
      <rPr>
        <sz val="9"/>
        <color theme="1"/>
        <rFont val="Calibri Light"/>
        <family val="2"/>
      </rPr>
      <t xml:space="preserve"> - 0.4V) = (3.2V - 0.4V) = 2.8V minimum given Vout load &gt; 400uA Class 'A1' (Table 22 in datasheet)</t>
    </r>
  </si>
  <si>
    <r>
      <t>V</t>
    </r>
    <r>
      <rPr>
        <vertAlign val="subscript"/>
        <sz val="9"/>
        <color theme="1"/>
        <rFont val="Calibri Light"/>
        <family val="2"/>
      </rPr>
      <t>DDP</t>
    </r>
    <r>
      <rPr>
        <sz val="9"/>
        <color theme="1"/>
        <rFont val="Calibri Light"/>
        <family val="2"/>
      </rPr>
      <t xml:space="preserve"> Min</t>
    </r>
  </si>
  <si>
    <r>
      <t>V</t>
    </r>
    <r>
      <rPr>
        <vertAlign val="subscript"/>
        <sz val="9"/>
        <color theme="1"/>
        <rFont val="Calibri Light"/>
        <family val="2"/>
      </rPr>
      <t>DDP</t>
    </r>
    <r>
      <rPr>
        <sz val="9"/>
        <color theme="1"/>
        <rFont val="Calibri Light"/>
        <family val="2"/>
      </rPr>
      <t xml:space="preserve"> Max</t>
    </r>
  </si>
  <si>
    <r>
      <t xml:space="preserve">Vout hi min, </t>
    </r>
    <r>
      <rPr>
        <sz val="9"/>
        <color theme="1"/>
        <rFont val="Calibri"/>
        <family val="2"/>
      </rPr>
      <t>≥</t>
    </r>
    <r>
      <rPr>
        <sz val="9"/>
        <color theme="1"/>
        <rFont val="Calibri Light"/>
        <family val="2"/>
      </rPr>
      <t>4mA load</t>
    </r>
  </si>
  <si>
    <r>
      <t xml:space="preserve">Out low min </t>
    </r>
    <r>
      <rPr>
        <sz val="9"/>
        <color theme="1"/>
        <rFont val="Calibri"/>
        <family val="2"/>
      </rPr>
      <t>≥</t>
    </r>
    <r>
      <rPr>
        <sz val="9"/>
        <color theme="1"/>
        <rFont val="Calibri Light"/>
        <family val="2"/>
      </rPr>
      <t>4mA load</t>
    </r>
  </si>
  <si>
    <t>Vout lo min, 100uA load</t>
  </si>
  <si>
    <t>Ref: I/O Voltage levels and currents, "3.12. sysI/O Single-Ended DC Electrical Characteristics" in file:</t>
  </si>
  <si>
    <t>1uA max leakage over temp with I/O voltage between GND and Vcc (no Vee, no headroom); 0.1uA max at 25C</t>
  </si>
  <si>
    <r>
      <t>V</t>
    </r>
    <r>
      <rPr>
        <vertAlign val="subscript"/>
        <sz val="9"/>
        <color theme="1"/>
        <rFont val="Calibri Light"/>
        <family val="2"/>
      </rPr>
      <t>PWR-</t>
    </r>
    <r>
      <rPr>
        <sz val="9"/>
        <color theme="1"/>
        <rFont val="Calibri Light"/>
        <family val="2"/>
      </rPr>
      <t xml:space="preserve"> Min</t>
    </r>
  </si>
  <si>
    <r>
      <t>V</t>
    </r>
    <r>
      <rPr>
        <vertAlign val="subscript"/>
        <sz val="9"/>
        <color theme="1"/>
        <rFont val="Calibri Light"/>
        <family val="2"/>
      </rPr>
      <t>PWR-</t>
    </r>
    <r>
      <rPr>
        <sz val="9"/>
        <color theme="1"/>
        <rFont val="Calibri Light"/>
        <family val="2"/>
      </rPr>
      <t xml:space="preserve"> Max</t>
    </r>
  </si>
  <si>
    <r>
      <t>V</t>
    </r>
    <r>
      <rPr>
        <vertAlign val="subscript"/>
        <sz val="9"/>
        <color theme="1"/>
        <rFont val="Calibri Light"/>
        <family val="2"/>
      </rPr>
      <t>PWR+</t>
    </r>
    <r>
      <rPr>
        <sz val="9"/>
        <color theme="1"/>
        <rFont val="Calibri Light"/>
        <family val="2"/>
      </rPr>
      <t xml:space="preserve"> Min</t>
    </r>
  </si>
  <si>
    <r>
      <t>V</t>
    </r>
    <r>
      <rPr>
        <vertAlign val="subscript"/>
        <sz val="9"/>
        <color theme="1"/>
        <rFont val="Calibri Light"/>
        <family val="2"/>
      </rPr>
      <t>PWR+</t>
    </r>
    <r>
      <rPr>
        <sz val="9"/>
        <color theme="1"/>
        <rFont val="Calibri Light"/>
        <family val="2"/>
      </rPr>
      <t xml:space="preserve"> Max</t>
    </r>
  </si>
  <si>
    <t>https://www.digikey.com/product-detail/en/texas-instruments/OPA388IDR/296-45348-2-ND/6590821</t>
  </si>
  <si>
    <t>±7.5µV max over temp</t>
  </si>
  <si>
    <t>±400pA max over temp (85C)</t>
  </si>
  <si>
    <r>
      <t>µV/</t>
    </r>
    <r>
      <rPr>
        <sz val="9"/>
        <color theme="1"/>
        <rFont val="Calibri"/>
        <family val="2"/>
      </rPr>
      <t>°</t>
    </r>
    <r>
      <rPr>
        <sz val="9"/>
        <color theme="1"/>
        <rFont val="Calibri Light"/>
        <family val="2"/>
      </rPr>
      <t>C typ</t>
    </r>
  </si>
  <si>
    <t>input bias typ &lt;85°C pA</t>
  </si>
  <si>
    <t>±0.005µV/°C typ,   ±0.05µV/°C max</t>
  </si>
  <si>
    <t>10uS (bad)</t>
  </si>
  <si>
    <t>300mV to (Vcc-300mV) for good open loop gain;    or +-100mV +-Headroom for less open loop gain</t>
  </si>
  <si>
    <t>124 min over temp for Vcm = -0.05V to (Vcc+0.1V)</t>
  </si>
  <si>
    <t>ti.com has tina model, arrow $1.07</t>
  </si>
  <si>
    <t>https://www.digikey.com/product-detail/en/texas-instruments/OPA365AIDR/296-46162-2-ND/1572590</t>
  </si>
  <si>
    <t>OPA365AIDR</t>
  </si>
  <si>
    <t>100 min over temp for Vcm = -0.1V to (Vcc+0.1V), 120 typical</t>
  </si>
  <si>
    <t>200mV to (Vcc-200mV) for good open loop gain</t>
  </si>
  <si>
    <t>4500 (bad)</t>
  </si>
  <si>
    <t>±200µV max @ 25°C</t>
  </si>
  <si>
    <t>±200pA max at 25C (table),    ±50pA typ at 85C (graph)</t>
  </si>
  <si>
    <t>2 max otasdf</t>
  </si>
  <si>
    <t>Op Amps w/ bad cmrr headroom: Opa189, Lt1013, Opa1637, Op197, Opa145, Lmp7707, Opa192, Opa172, OPA325, OPA381</t>
  </si>
  <si>
    <t>2600 (bad)</t>
  </si>
  <si>
    <t xml:space="preserve"> -0.05 to (Vcc+0.1),    note that input bias current prefers +1V +Headroom (Figure 10)</t>
  </si>
  <si>
    <t>Vcc &lt; 5.5V recommended (6V absolute max), 2.4mA quiesent current (very high)</t>
  </si>
  <si>
    <t>±7.5µVos max initial over temp    PLUS    ±0.05µV/°C max drift</t>
  </si>
  <si>
    <t>85nA leakage x 200 ohms @ 85C = +-16uV offset error, mostly at high temperatures, they want +-1V headroom and I am giving it 0.9V/0.9V -+Headroom</t>
  </si>
  <si>
    <t>https://www.digikey.com/product-detail/en/texas-instruments/OPA4314AIPWR/296-37662-2-ND/3431153</t>
  </si>
  <si>
    <t>"Mosfet Gate Leakage Test, v...TSC"</t>
  </si>
  <si>
    <t>70 min at 25C Vcm = -0.1V to Vcc+0.1V</t>
  </si>
  <si>
    <t>40 fA typical at 25C; yet max at 25C and typ/max at higher temperatures is not specified</t>
  </si>
  <si>
    <t>https://www.digikey.com/product-detail/en/texas-instruments/LMC6484IMX-NOPB/LMC6484IMX-NOPBTR-ND/334869</t>
  </si>
  <si>
    <t>4pA Maximum over temp</t>
  </si>
  <si>
    <t>arrow $1.56</t>
  </si>
  <si>
    <t>80 min over temp, 0V to (Vcc-1.0V)</t>
  </si>
  <si>
    <t>60dB min over temp with Vcm = 0 to (Vcc-1.5V)</t>
  </si>
  <si>
    <t>600pA Maximum at 70C with Vcm = 0 to (Vcc-1.5V)</t>
  </si>
  <si>
    <t>arrow $1.03</t>
  </si>
  <si>
    <t>60 min over temp for non-"A" version with Vcm = 0V to Vcc (no headroom);    and 67dB min over temp for "A" version</t>
  </si>
  <si>
    <t>3.7 max over temp non-"A" version</t>
  </si>
  <si>
    <t>pA Max Bias Over Temp</t>
  </si>
  <si>
    <t xml:space="preserve"> &gt; Max bias over temp not specified: OPAx377, OPAx196, OPAx344/345</t>
  </si>
  <si>
    <t xml:space="preserve"> &gt; Bad CMRR Headroom: LMC6034/6035, LMC6044, LMC660</t>
  </si>
  <si>
    <t>62 min with Vcm = 0 to (Vcc - 1.35V) and Vcc = 5V</t>
  </si>
  <si>
    <t>70 min over temp, 0V to (Vcc-1.2V)</t>
  </si>
  <si>
    <t>30pA Maximum at 85C,  3pA Maximum at 25C, 70dB min cmrr Vcm = 0 to (Vcc-1.2), 1uA quiesent/ch, 3.4mVos max ot, 8KHz GBW</t>
  </si>
  <si>
    <t>Note: ST specifies maximum leakage yet TI does not.</t>
  </si>
  <si>
    <t>Vos error is calibrated out when we switch in the 10mV reference, so we want this to be bad and therefore cheap</t>
  </si>
  <si>
    <t>then this corresponds to 5pA measurement error.</t>
  </si>
  <si>
    <t xml:space="preserve">Leakage current from op amp adds 1:1 to measurement in accuracy, e.g. 100pA op amp leakage adds 100pA </t>
  </si>
  <si>
    <t>measurement error. Also, you connect to gate in two places, so you need to multiply this by 2x.</t>
  </si>
  <si>
    <r>
      <t>Rfb (M</t>
    </r>
    <r>
      <rPr>
        <sz val="9"/>
        <color theme="1"/>
        <rFont val="Calibri"/>
        <family val="2"/>
      </rPr>
      <t>Ω</t>
    </r>
    <r>
      <rPr>
        <sz val="9"/>
        <color theme="1"/>
        <rFont val="Calibri Light"/>
        <family val="2"/>
      </rPr>
      <t>)</t>
    </r>
  </si>
  <si>
    <t>10mV/1.5Vref Mux Leakage</t>
  </si>
  <si>
    <t>10mV/1.5Vref Initial Accuracy</t>
  </si>
  <si>
    <t>10mVref and 1.5Vref voltages are measured via accurate 16bit a/d accurate to 1/10K</t>
  </si>
  <si>
    <t>Op Amp CMRR</t>
  </si>
  <si>
    <t>Op Amp mVos Offset</t>
  </si>
  <si>
    <t>Op Amp Leakage Current</t>
  </si>
  <si>
    <t>Rg/Rfb Resistor Accuracy</t>
  </si>
  <si>
    <t>Op Amp µVos/°C Drift</t>
  </si>
  <si>
    <t>https://www.digikey.com/product-detail/en/texas-instruments/SN74LV4053APWR/296-3833-2-ND/374753</t>
  </si>
  <si>
    <t>SN74LV4053APWR</t>
  </si>
  <si>
    <t>3x 2:1</t>
  </si>
  <si>
    <r>
      <t xml:space="preserve">Possible 2nd source is TI #TS5A9411DCKR,l ST #STG719STR, Diodes Inc #PI5A124TEX, Vishay #DG469EQ-T1-E3, Analog Devices #ADG799 (has spice). OnSemi does not have spice.    Arrow $0.07 </t>
    </r>
    <r>
      <rPr>
        <i/>
        <sz val="11"/>
        <color theme="1"/>
        <rFont val="Calibri"/>
        <family val="2"/>
        <scheme val="minor"/>
      </rPr>
      <t>#NLAST4599DTT1G</t>
    </r>
  </si>
  <si>
    <t>SPDT selects 10mVref or 1.5Vref has leakage current times Ron and this produces a Vos error at op amp IN+ input.</t>
  </si>
  <si>
    <t>SPDT Switch (10mV or 1.5Vref)</t>
  </si>
  <si>
    <t>nA Leakage</t>
  </si>
  <si>
    <t>SPDT Ron Ω</t>
  </si>
  <si>
    <t>53 (bad) with Vin=0 to Vcc in ST Micro datasheet (and no other info); however, TI's datasheet specifies that cmrr is much better with 1.4V headroom.</t>
  </si>
  <si>
    <t xml:space="preserve">Set Point </t>
  </si>
  <si>
    <t>Min</t>
  </si>
  <si>
    <t>Max</t>
  </si>
  <si>
    <t>16bit a/d measures 0 to 3.3V accurate to 1/20k = +-160uV</t>
  </si>
  <si>
    <t>nA</t>
  </si>
  <si>
    <t>Measured volts per nA</t>
  </si>
  <si>
    <t>V/nA</t>
  </si>
  <si>
    <t>16bit Accuracy (0 to 3Vmeas)</t>
  </si>
  <si>
    <t>A/D Measurement Accuracy</t>
  </si>
  <si>
    <t>+-pA</t>
  </si>
  <si>
    <t>16bit a/d can measure 0 to 100nA accurate to +-9pA, provided everything else is perfect and a/d measures 1.5V accurate to one part in 10K</t>
  </si>
  <si>
    <t>MΩ</t>
  </si>
  <si>
    <t>Feedback Resistor (Rfb)</t>
  </si>
  <si>
    <t>Gain Resistor (Rg)</t>
  </si>
  <si>
    <t>a/d measures 16mV for each nA of leakage current</t>
  </si>
  <si>
    <t>73min 90typ over temp Vcm = -0.2 V to (Vcc-1.3V) with 5.5Vcc (Fig 14 shows 75C as being 10x better!)</t>
  </si>
  <si>
    <t>62 min over temp Vcm = -0.1 V to Vcc-1.65V,      55 if Vcm gets closer to Vcc</t>
  </si>
  <si>
    <t>OPA4314A ($0.86, 4ch)</t>
  </si>
  <si>
    <t>NLAST4599DTT1G ($0.07, 1ch spdt)</t>
  </si>
  <si>
    <t>Gate Leakage Range</t>
  </si>
  <si>
    <t>system measures 0 to 100nA of gate leakage current</t>
  </si>
  <si>
    <t>1x NLAST4051 switches distribute Master vCal to various places, and add 10nA of leakage current</t>
  </si>
  <si>
    <t>Ω</t>
  </si>
  <si>
    <t>Leakage max OT</t>
  </si>
  <si>
    <t>Ron max OT</t>
  </si>
  <si>
    <t>NLAST4051 ($0.28, 8:1 mux)</t>
  </si>
  <si>
    <t>Master_vCal 8:1 Mux</t>
  </si>
  <si>
    <t>µVos/°C</t>
  </si>
  <si>
    <t>Temp Drift max OT</t>
  </si>
  <si>
    <t xml:space="preserve">If you have 10C drift since calibration and you get 2.5uV/C drift and this is 25uVos error, </t>
  </si>
  <si>
    <t>dB</t>
  </si>
  <si>
    <t>Leakage max 25°C</t>
  </si>
  <si>
    <t>Leakage max 75°C</t>
  </si>
  <si>
    <t>pA err 25°C</t>
  </si>
  <si>
    <t>pA err 75°C</t>
  </si>
  <si>
    <t>CMRR Min 25°C</t>
  </si>
  <si>
    <t>CMRR Min 75°C</t>
  </si>
  <si>
    <t>we set cmv to 1.5V and therefore should get a little better cmv error between cmv = 0 and cmv 1.5 during calibration</t>
  </si>
  <si>
    <t>25°C:</t>
  </si>
  <si>
    <t>75°C:</t>
  </si>
  <si>
    <t>TOTAL MEASUREMENT ACCURACY, +- MAX ERROR</t>
  </si>
  <si>
    <t>1ch pA leak</t>
  </si>
  <si>
    <t>switch in MasterVcal (e.g. 10mV) and MOSFET gate is shorted to 0V and we measure op amp out w/ 16bit a/d.</t>
  </si>
  <si>
    <t xml:space="preserve">80dB cmrr means we get 150uV (1.5V/10K) added to Vos when we move from 10mVref to 1.5Vref. </t>
  </si>
  <si>
    <t>This moves output by same amount. 1.5mV / 10M ohm = 150 pA error added to measurement error.</t>
  </si>
  <si>
    <t>OPA4314A</t>
  </si>
  <si>
    <t>1typ, 8max</t>
  </si>
  <si>
    <t>https://www.digikey.com/products/en/integrated-circuits-ics/linear-amplifiers-instrumentation-op-amps-buffer-amps/687?k=OPA4314A&amp;k=&amp;pkeyword=OPA4314A&amp;sv=0&amp;pv7=1&amp;pv2094=i4&amp;sf=0&amp;quantity=&amp;ColumnSort=0&amp;page=1&amp;pageSize=25</t>
  </si>
  <si>
    <t>2.5mVos max at 25C</t>
  </si>
  <si>
    <t>1uV/C typ OT</t>
  </si>
  <si>
    <t>500mV to (Vcc-500mV) for best open loop gain</t>
  </si>
  <si>
    <t xml:space="preserve"> -0.2 to (Vcc-1.3) for good cmrr</t>
  </si>
  <si>
    <t>ti.com has TINA model</t>
  </si>
  <si>
    <t>OPA4314A, 3MHz, 5uS Rec, 2.5mVos max 25C, 5pF, 60pA max 75C, 1.5V/uS, 73dB min OT, In -0.2 to (Vcc-1.3), Out 300mV to (Vcc-300mV)</t>
  </si>
  <si>
    <t>LMV794, 2Ch, $0.80, 88MHz, 1.6mVos mx OT, 25pA max OT, 28V/uS, 75dB min OT, In 0 to (Vcc-1.3), Out 0.3V to (Vcc-0.3V)</t>
  </si>
  <si>
    <t>LMV793, 1Ch, $0.44, 88MHz, 1.6mVos mx OT, 25pA max OT, 28V/uS, 75dB min OT, In 0 to (Vcc-1.3), Out 0.3V to (Vcc-0.3V)</t>
  </si>
  <si>
    <t>Half Bridge, ≥ 1Amp</t>
  </si>
  <si>
    <t>Adjustable (set with 0.1% resistors, $0.04 each), ≥ 7V input, ≥ 150mA rating, ≤ 100mV dropout at 50mA, ≤ 2% accurate (e.g. provides power for 3.6Vpwr/30mA IC's and OpAmps/Muxes that want 1.2V headroom via 4.5Vpwr)</t>
  </si>
  <si>
    <t>4.5V Fixed, ≥ 7V input, ≥ 150mA rating, ≤ 100mV dropout at 50mA, ≤ 2% accurate, Vin ≥ 8V (e.g. provides power for 3.6Vpwr/30mA IC's and OpAmps/Muxes that want 1.2V headroom via 4.5Vpwr)</t>
  </si>
  <si>
    <t>3.6V Fixed, ≥ 150mA rating, ≤ 600mV dropout, ≤ 2% accurate (e.g. 13mA for Xmc4200, 3mA for 16bit A/D, 10mA for op amps, 2mA for mux)</t>
  </si>
  <si>
    <t>https://www.digikey.com/product-detail/en/diodes-incorporated/DMG2302UK-7/DMG2302UK-7DITR-ND/6010142</t>
  </si>
  <si>
    <t>DMG2302UK ('UK', not 'U')</t>
  </si>
  <si>
    <r>
      <rPr>
        <sz val="9"/>
        <color theme="1"/>
        <rFont val="Calibri"/>
        <family val="2"/>
      </rPr>
      <t>±</t>
    </r>
    <r>
      <rPr>
        <sz val="9"/>
        <color rgb="FFFF0000"/>
        <rFont val="Calibri Light"/>
        <family val="2"/>
      </rPr>
      <t>10</t>
    </r>
    <r>
      <rPr>
        <sz val="9"/>
        <color theme="1"/>
        <rFont val="Calibri Light"/>
        <family val="2"/>
      </rPr>
      <t>uA (BAD) max at 25C (Vds = 16V, Vgs = 0V)</t>
    </r>
  </si>
  <si>
    <t>±1 uA max at 25C (Vds = 60V, Vgs = 0V)</t>
  </si>
  <si>
    <t>±0.8 uA max at 25C (Vds = 60V, Vgs = 0V)</t>
  </si>
  <si>
    <t>±1 uA max at 25C (Vds = 20V, Vgs = 0V)</t>
  </si>
  <si>
    <t>±1 uA max at 25C (Vds = 24V, Vgs = 0V)</t>
  </si>
  <si>
    <r>
      <t>±0.01 uA max at 25</t>
    </r>
    <r>
      <rPr>
        <sz val="9"/>
        <color theme="1"/>
        <rFont val="Calibri"/>
        <family val="2"/>
      </rPr>
      <t>°</t>
    </r>
    <r>
      <rPr>
        <sz val="9"/>
        <color theme="1"/>
        <rFont val="Calibri Light"/>
        <family val="2"/>
      </rPr>
      <t>C, 5 uA max at 125°C (Vds = 240V, Vgs = 0V)</t>
    </r>
  </si>
  <si>
    <t>±1 uA max at 25°C (Vds = -100V, Vgs = 0V)</t>
  </si>
  <si>
    <t>±1 uA max at 25C (Vds = 80V, Vgs = 0V)</t>
  </si>
  <si>
    <t>±10mx @25C</t>
  </si>
  <si>
    <t>±15 uA max at 25°C, 60 uA max at 125°C (VERY HIGH!!!) (Vds = 100V, Vgs = 0V)</t>
  </si>
  <si>
    <t>1mx @25°C, 100mx @125°C (HIGH !!)</t>
  </si>
  <si>
    <t>±20V</t>
  </si>
  <si>
    <t>±25V</t>
  </si>
  <si>
    <t>±12V</t>
  </si>
  <si>
    <t>Arrow $0.82.    Also, 2ch version is $0.06.</t>
  </si>
  <si>
    <t>https://www.digikey.com/product-detail/en/texas-instruments/TLV2333IDR/296-43772-2-ND/5866536</t>
  </si>
  <si>
    <t>102 min with Vcm = -0.1 to (Vcc+0.1V)</t>
  </si>
  <si>
    <t>https://www.digikey.com/product-detail/en/on-semiconductor/NCS2333DR2G/NCS2333DR2GOSTR-ND/6560609</t>
  </si>
  <si>
    <t>on semi</t>
  </si>
  <si>
    <t>106 min with Vcm = +0.1 to (Vcc-0.1V)</t>
  </si>
  <si>
    <t>3.4mVos</t>
  </si>
  <si>
    <t>3.5mVos</t>
  </si>
  <si>
    <t>7.5mVos</t>
  </si>
  <si>
    <t>7mVos</t>
  </si>
  <si>
    <t>2.4mVos</t>
  </si>
  <si>
    <t>4.5mVos</t>
  </si>
  <si>
    <t>12mVos</t>
  </si>
  <si>
    <t>2.5mVos max @ 25C</t>
  </si>
  <si>
    <t>1.5mVos max @ 25C</t>
  </si>
  <si>
    <t>2mVos max over temp</t>
  </si>
  <si>
    <t>https://www.digikey.com/product-detail/en/stmicroelectronics/TSZ124IYPT/497-16370-2-ND/5872325</t>
  </si>
  <si>
    <t>115 min with Vcm = 0V to Vcc over temp (very good) and Vcc = 5V</t>
  </si>
  <si>
    <t>100 min with Vcm = -0.1V to (Vcc+0.1V) over temp (very good)</t>
  </si>
  <si>
    <t>600pA Maximum @ 125C (Fig 14 shows 75C as being 10x better which would be 600/10 = 60pA!),   0.2typ 10max pA @ 25C</t>
  </si>
  <si>
    <t>100pA max @ 70C    1typ 60max pA @ 25C,   64dB cmrr 3.3Vcc, 560uA quiesent/ch, 7mVos max ot, 2MHz GBW</t>
  </si>
  <si>
    <t>75ty 500mx uVos @ 25C,      1uV/C typ OT x 50C = 50uVos typ additional</t>
  </si>
  <si>
    <t>80 min with Vcm = 0 to (Vcc - 0.9V) and Vcc = 3.3V</t>
  </si>
  <si>
    <t>0.1pA typ @ 25C,   no other bias current (pA) specs (no OT specs, no maximum specs)</t>
  </si>
  <si>
    <t xml:space="preserve"> &gt; Bias Current Maximum Not Specified (only typical): MCP6L01, MCP6004T, TLV4313, OPA4348 (85C not specified), TLVx376</t>
  </si>
  <si>
    <t xml:space="preserve"> &gt; High Maximum Bias: TSV734 (300pA), OPAx325 (500 max ot)</t>
  </si>
  <si>
    <t>72 min with Vcm = 0V to (Vcc-1.3V) @ 25C</t>
  </si>
  <si>
    <t>LMC6484 ($1.08/4ch)</t>
  </si>
  <si>
    <t>TSU104 ($0.77/4ch)</t>
  </si>
  <si>
    <t>LMP2234 ($1.63/4ch)</t>
  </si>
  <si>
    <t>TSV994A ($.53/4ch)</t>
  </si>
  <si>
    <t>TSV994 ($.48/4ch)</t>
  </si>
  <si>
    <t>TSV914A ($.43/4ch)</t>
  </si>
  <si>
    <t>TLV274 ($.49/4ch)</t>
  </si>
  <si>
    <t>NCS2333D  ($0.38/2ch, non-'A')</t>
  </si>
  <si>
    <t>TSZ124 ($0.78/4ch)</t>
  </si>
  <si>
    <t>OPA4330A ($1.60/4ch)</t>
  </si>
  <si>
    <t>TSX634 ($0.56/4ch)</t>
  </si>
  <si>
    <t>LMV344  ($0.34/4ch)</t>
  </si>
  <si>
    <t>TLC274C ($0.65/4ch)</t>
  </si>
  <si>
    <t>OPA4314A ($0.86/4ch,   $0.60/2ch #OPA2314AIDR)</t>
  </si>
  <si>
    <t>LMV324  ($0.14/4ch)</t>
  </si>
  <si>
    <t>LME49721 ($.64/2ch)</t>
  </si>
  <si>
    <t>TLV9064i ($.49/4ch)</t>
  </si>
  <si>
    <t>TLV9054i ($.41/4ch)</t>
  </si>
  <si>
    <t>TLV8544p ($0.60/4ch)</t>
  </si>
  <si>
    <t>TLV8812 ($.29/2ch)</t>
  </si>
  <si>
    <t>70typ 200max pA @ 25°C,          300max pA over temp (125°C) with Vcc=5V,           several figures show some more iib data</t>
  </si>
  <si>
    <t>70typ 300max pA @ 25°C,          300 typ (not max) pA over temp (125°C) with Vcc=5V</t>
  </si>
  <si>
    <t>0.02typ 10max pA @ 25°C,        50max pA @ 125°C</t>
  </si>
  <si>
    <t>8mx µVos over temp (very good) with Vcc = 5V</t>
  </si>
  <si>
    <t>60typ 400max pA @ 25C,   400typ pA over temp (125C),  Figures show IB a little higher with Vcm close to Vcc; and shows IB higher at 70C to 125C</t>
  </si>
  <si>
    <r>
      <t>Maximum Leakage ≤ 600pA Over Temp</t>
    </r>
    <r>
      <rPr>
        <u/>
        <sz val="11"/>
        <color theme="6"/>
        <rFont val="Calibri"/>
        <family val="2"/>
      </rPr>
      <t/>
    </r>
  </si>
  <si>
    <t>Typical Leakage Is Decent yet Maximum not Specified</t>
  </si>
  <si>
    <t>Not Feasible</t>
  </si>
  <si>
    <t>6ty 30mx µVos @ 25C,      0.07µV/C max OT x 50C = 3.5µVos additional (34µV total max over temp)</t>
  </si>
  <si>
    <r>
      <t xml:space="preserve">5ty 25mx </t>
    </r>
    <r>
      <rPr>
        <sz val="9"/>
        <color rgb="FF7030A0"/>
        <rFont val="Calibri"/>
        <family val="2"/>
      </rPr>
      <t>µ</t>
    </r>
    <r>
      <rPr>
        <sz val="9"/>
        <color rgb="FF7030A0"/>
        <rFont val="Calibri Light"/>
        <family val="2"/>
      </rPr>
      <t>Vos @ 25</t>
    </r>
    <r>
      <rPr>
        <sz val="9"/>
        <color rgb="FF7030A0"/>
        <rFont val="Calibri"/>
        <family val="2"/>
      </rPr>
      <t>°</t>
    </r>
    <r>
      <rPr>
        <sz val="9"/>
        <color rgb="FF7030A0"/>
        <rFont val="Calibri Light"/>
        <family val="2"/>
      </rPr>
      <t>C,      0.25typ 1max µV/°C OT x 50°C = 12typ 50max µVos additional (17typ 75max total over temp)</t>
    </r>
  </si>
  <si>
    <t>0.2typ 10max pA @ 25°C,        Fig 11 shows 20typ @ 75°C and 200typ at 125°C.           Note that OPAx325 is also 0.2typ/10max at 25C yet it also says 500 max @ 85°C and 10,000 max @ 125°C</t>
  </si>
  <si>
    <t xml:space="preserve">10ty 150mx µVos @ 25°C,      230mx µVos @ 125°C </t>
  </si>
  <si>
    <t>TLV4376 ($1.12/4ch, 'TLV' not 'OPA')</t>
  </si>
  <si>
    <t>8ty 50mx µVos @ 25C,      0.25max µV/C OT x 50C = 12µVos additional (62µV total max over temp)</t>
  </si>
  <si>
    <r>
      <t xml:space="preserve">50ty 125mx </t>
    </r>
    <r>
      <rPr>
        <sz val="9"/>
        <rFont val="Calibri"/>
        <family val="2"/>
      </rPr>
      <t>µ</t>
    </r>
    <r>
      <rPr>
        <sz val="9"/>
        <rFont val="Calibri Light"/>
        <family val="2"/>
      </rPr>
      <t>Vos @ 25</t>
    </r>
    <r>
      <rPr>
        <sz val="9"/>
        <rFont val="Calibri"/>
        <family val="2"/>
      </rPr>
      <t>°</t>
    </r>
    <r>
      <rPr>
        <sz val="9"/>
        <rFont val="Calibri Light"/>
        <family val="2"/>
      </rPr>
      <t>C</t>
    </r>
  </si>
  <si>
    <t>0.3typ pA @ 25°C,    no other specifications in table,   Fig 11 shows 20typ @ 75°C and 200typ @ 125°C</t>
  </si>
  <si>
    <t>TLV4333i ($1.12/4ch)</t>
  </si>
  <si>
    <t>2ty 15mx µVos @ 25°C,     0.02µV/C typical x 50°C = 1µVos additional (16typ µV total max over temp)</t>
  </si>
  <si>
    <t>0.2typ 10max pA @ 25C,  600pA Maximum @ 125C (Fig 14 shows 75C as being 10x better which would be 600/10 = 60pA!),   ,   73dB min OT cmrr with 1.3V +Headroom w/ 5.5Vcc,  180uA quiesent/ch, 2.5mVos max at 25C, 3MHz GBW</t>
  </si>
  <si>
    <t>1typ 10max pA @ 25°C,        100pA Maximum at 85C  -- all specified in table (ST Micro, not TI)</t>
  </si>
  <si>
    <t>OPA4376 ($1.57/4ch, 'OPA' not 'TLV', $1.08/2ch)</t>
  </si>
  <si>
    <t>NOT USED -- OLD DESIGN --  Leakage Current Measurement</t>
  </si>
  <si>
    <r>
      <t>Rg (1M</t>
    </r>
    <r>
      <rPr>
        <sz val="11"/>
        <color theme="0" tint="-0.34998626667073579"/>
        <rFont val="Calibri"/>
        <family val="2"/>
      </rPr>
      <t>Ω</t>
    </r>
    <r>
      <rPr>
        <sz val="11"/>
        <color theme="0" tint="-0.34998626667073579"/>
        <rFont val="Calibri"/>
        <family val="2"/>
        <scheme val="minor"/>
      </rPr>
      <t xml:space="preserve">) and Rfb (10MΩ) resistors are accurate to 0.5% and this provides 1% gain error, which is measured when we </t>
    </r>
  </si>
  <si>
    <t>Maxim</t>
  </si>
  <si>
    <t>MAX44263 ($1.16/2ch)</t>
  </si>
  <si>
    <t>0.01typ 0.5max pA @ 25°C,        10max pA @ 85°C</t>
  </si>
  <si>
    <t>75min 90typ with Vcm = -0.1V to (Vcc+0.1V) @ 25C;  yet graphs show better with more headroom !!!</t>
  </si>
  <si>
    <t>MAX44261 ($0.70/1ch)</t>
  </si>
  <si>
    <t>https://www.maximintegrated.com/en/design/technical-documents/tutorials/5/5693.html</t>
  </si>
  <si>
    <t>DC ERROR CHARACTERISTICS OF AN OP AMP AND THE EFFECT ON HIGH-PRECISION APPLICATIONS (effects of leakage current and cmrr)</t>
  </si>
  <si>
    <t>https://www.maximintegrated.com/en/design/design-tools/modeling-simulation/spice.html</t>
  </si>
  <si>
    <t>List of spice models for all parts</t>
  </si>
  <si>
    <t>https://www.analog.com/media/en/training-seminars/tutorials/MT-038.pdf</t>
  </si>
  <si>
    <t xml:space="preserve">CANCELING THE EFFECTS OF BIAS CURRENT (EXTERNAL TO THE OP AMP) </t>
  </si>
  <si>
    <t>https://en.wikibooks.org/wiki/Electronics/Electronics_Formulas/Op_Amp_Configurations</t>
  </si>
  <si>
    <t>Op Amp Equations</t>
  </si>
  <si>
    <t xml:space="preserve">10ty 50mx µVos @ 25°C,          100mx µVos @ 125°C  AFTER calibration pin has been touched (Max44261 only)          OR       800mx (BAD) µVos OT (not Max44261) </t>
  </si>
  <si>
    <t>72 min with Vcm = 0V to (Vcc-1.3V) @ 25C.        Figure 23 shows this as being 10x better if you work with Vcm = 1V to (Vcc-1.3V)</t>
  </si>
  <si>
    <t>spice is BUSTED: https://www.maximintegrated.com/content/dam/files/design/tools/modeling-simulation/spice/operational-amplifiers/macro/max44261.fam</t>
  </si>
  <si>
    <t xml:space="preserve"> &gt; High uVos (&gt;100uV): OPAx325, Max9613, AD8603 (100's uV OT)</t>
  </si>
  <si>
    <t>MCP6V61T ($0.80/1ch)</t>
  </si>
  <si>
    <t>Microchip</t>
  </si>
  <si>
    <t>8mx µVos @ 25°C,      0.015max µV/°C OT x 50°C = 1max µVos additional (9max total over temp)</t>
  </si>
  <si>
    <t>1typ 50max pA @ 25°C,        20typ pA @ 85°C (perhaps max is 7x more than 20pA typ = 150pA ?)</t>
  </si>
  <si>
    <t>120 min with Vcm = -0.2 to (Vcc+0.3V)</t>
  </si>
  <si>
    <t>MCP6V66T ($0.60/1ch)</t>
  </si>
  <si>
    <t>25mx µVos @ 25°C,      0.15max µV/°C OT x 50°C = 7max µVos additional (32max total over temp)</t>
  </si>
  <si>
    <t>111 min with Vcm = -0.2 to (Vcc+0.3V)</t>
  </si>
  <si>
    <t>https://www.microchip.com/doclisting/TechDoc.aspx?type=Spice</t>
  </si>
  <si>
    <t>Micrchip</t>
  </si>
  <si>
    <t>Semiconductor Company Simulators and Spice Models</t>
  </si>
  <si>
    <t>spice works well</t>
  </si>
  <si>
    <t>https://www.digikey.com/product-detail/en/vishay-siliconix/DG613EEQ-T1-GE4/DG613EEQ-T1-GE4TR-ND/7915454</t>
  </si>
  <si>
    <r>
      <t>0.25</t>
    </r>
    <r>
      <rPr>
        <sz val="9"/>
        <color theme="6"/>
        <rFont val="Calibri Light"/>
        <family val="2"/>
      </rPr>
      <t>n</t>
    </r>
    <r>
      <rPr>
        <sz val="9"/>
        <color theme="1"/>
        <rFont val="Calibri Light"/>
        <family val="2"/>
      </rPr>
      <t>A Max at 85C, 0.1nA Max at 25C (not typical), +-1V headroom, Vin = (Vee+1) to (Vcc-1), OtherPins NotSpecified (?)</t>
    </r>
  </si>
  <si>
    <t>16V</t>
  </si>
  <si>
    <t>10Ω max 85°C</t>
  </si>
  <si>
    <t>90Ω max 85°C Vee=0V Vcc=5V Vin = 0 to 3.5V (+1.5V Headroom), see graphs for more details</t>
  </si>
  <si>
    <t>DG613EEQ (also Dg611, Dg612)</t>
  </si>
  <si>
    <t>DG441 (also Dg442)</t>
  </si>
  <si>
    <r>
      <t>10</t>
    </r>
    <r>
      <rPr>
        <sz val="9"/>
        <color theme="6"/>
        <rFont val="Calibri Light"/>
        <family val="2"/>
      </rPr>
      <t>n</t>
    </r>
    <r>
      <rPr>
        <sz val="9"/>
        <color theme="1"/>
        <rFont val="Calibri Light"/>
        <family val="2"/>
      </rPr>
      <t>A Max at 85C, 1nA Max at 25C (not typical), +-1V headroom, Vin = (Vee+1) to (Vcc-1), OtherPins NotSpecified (?)</t>
    </r>
  </si>
  <si>
    <t>35Ω max 12Vpwr 85°C</t>
  </si>
  <si>
    <t>215Ω max 10Vpwr 85°C</t>
  </si>
  <si>
    <t>0.5Ω max 25°C</t>
  </si>
  <si>
    <t>Quad Op Amp IC's with Low Input Leakage Current, low Vos, and high CMRR</t>
  </si>
  <si>
    <t>https://www.digikey.com/product-detail/en/panasonic-electronic-components/ERA-6AEB105V/P1MDATR-ND/1465821</t>
  </si>
  <si>
    <t>ERA-6AEB105V</t>
  </si>
  <si>
    <t>spice works ok, yet sim shows chopper noise (e.g. Vos) in leakage current measurement system ?!?!: https://www.microchip.com/doclisting/TechDoc.aspx?type=Spice</t>
  </si>
  <si>
    <t>SIM SHOWS NOISY CHOPPING (e.g. uVos) ?!?  1typ 50max pA @ 25°C,        20typ pA @ 85°C (perhaps max is 7x more than 20pA typ = 150pA ?)</t>
  </si>
  <si>
    <t>Vos and leakage current change when change Vcm, Observed on simulator</t>
  </si>
  <si>
    <t>pA chg w/ 2V Vcm chg</t>
  </si>
  <si>
    <t>uVos chg w/ 2V Vcm chg</t>
  </si>
  <si>
    <t>MCP6V66</t>
  </si>
  <si>
    <t>OPA4330a, Tester B, v1a.TSC</t>
  </si>
  <si>
    <t>MCP6V66_A, Tester B, v2c.TSC</t>
  </si>
  <si>
    <t>OPA2376, 2011 Model, Tester B, v1b.TSC</t>
  </si>
  <si>
    <t>OPAx376</t>
  </si>
  <si>
    <t>OPAx330</t>
  </si>
  <si>
    <t>TLV4333a, Tester B, v1a.TSC</t>
  </si>
  <si>
    <t>TLV4333a</t>
  </si>
  <si>
    <t>TSZ121, Tester B, v1a.TSC</t>
  </si>
  <si>
    <t>TSZ121</t>
  </si>
  <si>
    <t>Input Bias pA</t>
  </si>
  <si>
    <t>R_in Ω</t>
  </si>
  <si>
    <t>R_fb Ω</t>
  </si>
  <si>
    <r>
      <t xml:space="preserve">R_set </t>
    </r>
    <r>
      <rPr>
        <sz val="9"/>
        <color theme="1"/>
        <rFont val="Calibri"/>
        <family val="2"/>
      </rPr>
      <t>Ω</t>
    </r>
  </si>
  <si>
    <t>Diode Protection</t>
  </si>
  <si>
    <t>In+/In- have protection diodes to Vpwr- AND Vpwr+</t>
  </si>
  <si>
    <t>In+/In- have protection diodes to Vpwr- ONLY (not Vpwr+)</t>
  </si>
  <si>
    <t>observed uVos &amp; leakage chg w/ Vcm change</t>
  </si>
  <si>
    <t>uV meas err post cal EXP</t>
  </si>
  <si>
    <t>pA meas err post cal EXP</t>
  </si>
  <si>
    <t>75typ pA @ 25C,    150pA typ over temp (125C),   max not specified,     Fig 7 shows bias not getting much worse as you increase temperature.  Graph shows input bias changing 7pA (195 to 202pA) when you change Cmv from 1V to 4V (this is an error that we see, 7pA x 50K = 0.35uVos)</t>
  </si>
  <si>
    <t>expected leakage (pA) measurement accuracy based on Vos &amp; leakage chg w/ Vcm chg</t>
  </si>
  <si>
    <t xml:space="preserve"> &lt;&lt; sim shows choppy noise</t>
  </si>
  <si>
    <t xml:space="preserve"> &gt; Sim shows TLVx333a as doing well and calibrating out Vos and leakage errors by switching set point voltage to 0V (e.g. masterCal moves from 3V to 0V).</t>
  </si>
  <si>
    <t>MCT06030C1005FP500 (thin film, 50ppm/C, 10MΩ, not higher)</t>
  </si>
  <si>
    <t>Value MΩ</t>
  </si>
  <si>
    <t>1.0 to 2.7</t>
  </si>
  <si>
    <r>
      <rPr>
        <sz val="11"/>
        <color theme="1"/>
        <rFont val="Calibri"/>
        <family val="2"/>
      </rPr>
      <t xml:space="preserve">≤ </t>
    </r>
    <r>
      <rPr>
        <sz val="11"/>
        <color theme="1"/>
        <rFont val="Calibri"/>
        <family val="2"/>
        <scheme val="minor"/>
      </rPr>
      <t>1.0</t>
    </r>
  </si>
  <si>
    <t>≤ 10MΩ</t>
  </si>
  <si>
    <t>https://www.digikey.com/product-detail/en/vishay-beyschlag/MCT06030C1005FP500/MCT0603-10-0M-CFTR-ND/2607824</t>
  </si>
  <si>
    <t>Measure Range</t>
  </si>
  <si>
    <t>0.5% chg 40°C 93%RH</t>
  </si>
  <si>
    <t>stability</t>
  </si>
  <si>
    <t>0.25% chg 70°C 85%RH</t>
  </si>
  <si>
    <t>IEC 60115-8, JIS C 5201-8, EIAJ RC-2133B</t>
  </si>
  <si>
    <t>standard</t>
  </si>
  <si>
    <t>Drift less than±0.1%in all tests, compliant to AEC-Q200, ref: https://www.susumu.co.jp/usa/tech/know_how_04.php</t>
  </si>
  <si>
    <r>
      <t xml:space="preserve">A/D </t>
    </r>
    <r>
      <rPr>
        <sz val="9"/>
        <color theme="1"/>
        <rFont val="Calibri"/>
        <family val="2"/>
      </rPr>
      <t>±</t>
    </r>
    <r>
      <rPr>
        <sz val="9"/>
        <color theme="1"/>
        <rFont val="Calibri Light"/>
        <family val="2"/>
      </rPr>
      <t>vRange</t>
    </r>
  </si>
  <si>
    <t>A/D Gain</t>
  </si>
  <si>
    <t>A/D vRef (V)</t>
  </si>
  <si>
    <r>
      <t xml:space="preserve">Meets class "0.5" which I think means it moves </t>
    </r>
    <r>
      <rPr>
        <sz val="11"/>
        <color theme="1"/>
        <rFont val="Calibri"/>
        <family val="2"/>
      </rPr>
      <t>≤ 0.5%.</t>
    </r>
    <r>
      <rPr>
        <sz val="11"/>
        <color theme="1"/>
        <rFont val="Calibri"/>
        <family val="2"/>
        <scheme val="minor"/>
      </rPr>
      <t xml:space="preserve">        EN 140401-801 which refers to EN 60115-1, EN 60115-8 and the variety of environmental test procedures of the IEC 60068 (1) series. </t>
    </r>
  </si>
  <si>
    <t>pA/LSB</t>
  </si>
  <si>
    <t>https://www.digikey.com/product-detail/en/vishay-siliconix/DG604EEQ-T1-GE4/DG604EEQ-T1-GE4TR-ND/7915450</t>
  </si>
  <si>
    <t>DG604EEQ, Vishay</t>
  </si>
  <si>
    <t>140Ω max 10Vpwr 85°C</t>
  </si>
  <si>
    <t>6.5Ω max 85°C</t>
  </si>
  <si>
    <t>22Ω max 85°C Vee=-5V Vcc=5V Vin = -3 to 3V (+-2V Headroom)</t>
  </si>
  <si>
    <r>
      <t>0.50</t>
    </r>
    <r>
      <rPr>
        <sz val="9"/>
        <color theme="6"/>
        <rFont val="Calibri Light"/>
        <family val="2"/>
      </rPr>
      <t>n</t>
    </r>
    <r>
      <rPr>
        <sz val="9"/>
        <color theme="1"/>
        <rFont val="Calibri Light"/>
        <family val="2"/>
      </rPr>
      <t>A Max at 85C, 0.1nA Max at 25C (not typical), +-1V headroom, Vin = (Vee+1) to (Vcc-1), OtherPins NotSpecified (?)</t>
    </r>
  </si>
  <si>
    <t>https://www.digikey.com/product-detail/en/susumu/RG2012P-275-B-T5/408-2028-2-ND/7035372</t>
  </si>
  <si>
    <t>RG2012P-275 (2.7MΩ, not higher)</t>
  </si>
  <si>
    <r>
      <t xml:space="preserve">RMCF0805FT22M0 ( </t>
    </r>
    <r>
      <rPr>
        <sz val="11"/>
        <color theme="1"/>
        <rFont val="Calibri"/>
        <family val="2"/>
      </rPr>
      <t xml:space="preserve">≤ </t>
    </r>
    <r>
      <rPr>
        <sz val="11"/>
        <color theme="1"/>
        <rFont val="Calibri"/>
        <family val="2"/>
        <scheme val="minor"/>
      </rPr>
      <t>22MΩ, not higher)</t>
    </r>
  </si>
  <si>
    <t>≤ 22MΩ</t>
  </si>
  <si>
    <t>1M to 22MΩ Resistors</t>
  </si>
  <si>
    <t>Master vCal (V)</t>
  </si>
  <si>
    <t>R_fb (MΩ)</t>
  </si>
  <si>
    <t>Rg (MΩ)</t>
  </si>
  <si>
    <t>A/D uV/LSB</t>
  </si>
  <si>
    <t xml:space="preserve"> &gt; If leakage is low at 25°C (e.g. 10pA) then we need to wait for part to be hotter, where leakage is larrger, so we can measure accurate to +-10pA and get decent resolution.</t>
  </si>
  <si>
    <t>Calibration</t>
  </si>
  <si>
    <t>3) Set Master_vCal to 2V and do not short Vin to gnd. Measure amplifier Vout. Subtract offset measured in step 2. Divide voltage by Rfb measured (e.g. 22M)</t>
  </si>
  <si>
    <t xml:space="preserve"> &gt; Our measurement error is caused by pA leakage change between regular operation (master_vCal = OpAmp Vcm = 2V) and calibration (Master_vCal = OpAmp Vcm = 0V).</t>
  </si>
  <si>
    <t>Gain Resistor (Rg = Rin)</t>
  </si>
  <si>
    <t>buy ??</t>
  </si>
  <si>
    <t>TLV4333i ($1.12/4ch,   $0.78/2ch #TLV2333IDR)</t>
  </si>
  <si>
    <t>350KHz</t>
  </si>
  <si>
    <t>0.02 typ</t>
  </si>
  <si>
    <t>102min 115typ with Vcm = -0.1 to (Vcc+0.1V)</t>
  </si>
  <si>
    <t>100mV to (Vcc-100mV) for good open loop gain</t>
  </si>
  <si>
    <t>TLV4333i ($1.12/4ch, $0.78/2ch #TLV2333IDR)</t>
  </si>
  <si>
    <t>5mVref and 2Vref voltages are measured via accurate 16bit a/d accurate to 1/10K</t>
  </si>
  <si>
    <t>5mV/2Vref Initial Accuracy</t>
  </si>
  <si>
    <t>5mV/2Vref Mux Leakage</t>
  </si>
  <si>
    <t>Sources Of Error BEFORE calibration (we take out much of this with calibration)</t>
  </si>
  <si>
    <t>Mux selects 5mVref or 2Vref has leakage current times Ron and this produces a Vos error at op amp IN+ input.</t>
  </si>
  <si>
    <r>
      <t>Rg (1M</t>
    </r>
    <r>
      <rPr>
        <sz val="11"/>
        <color theme="1"/>
        <rFont val="Calibri"/>
        <family val="2"/>
      </rPr>
      <t>Ω</t>
    </r>
    <r>
      <rPr>
        <sz val="11"/>
        <color theme="1"/>
        <rFont val="Calibri"/>
        <family val="2"/>
        <scheme val="minor"/>
      </rPr>
      <t xml:space="preserve">) and Rfb (22MΩ) resistors are accurate to 1% and this provides 1% gain error, which is measured when we </t>
    </r>
  </si>
  <si>
    <t>switch in MasterVcal (e.g. 5mV) and MOSFET gate is shorted to 0V and we measure op amp out w/ 16bit a/d.</t>
  </si>
  <si>
    <t>measurement error. Also, you connect to gate in two places, so you need to multiply this by 2x. This is alibrated out later.</t>
  </si>
  <si>
    <r>
      <t xml:space="preserve">TOTAL MEASUREMENT ACCURACY </t>
    </r>
    <r>
      <rPr>
        <i/>
        <sz val="11"/>
        <color theme="2" tint="-0.499984740745262"/>
        <rFont val="Calibri"/>
        <family val="2"/>
        <scheme val="minor"/>
      </rPr>
      <t>Before</t>
    </r>
    <r>
      <rPr>
        <sz val="11"/>
        <color theme="2" tint="-0.499984740745262"/>
        <rFont val="Calibri"/>
        <family val="2"/>
        <scheme val="minor"/>
      </rPr>
      <t xml:space="preserve"> CALIBRATION, +- MAX ERROR</t>
    </r>
  </si>
  <si>
    <t>Vos error is calibrated out when we switch in the 5mV reference, so we want this to be bad and therefore cheap</t>
  </si>
  <si>
    <t xml:space="preserve">100dB cmrr means we get 20uV (2V/100K) added to Vos when we move from 5mVref to 2Vref. </t>
  </si>
  <si>
    <t>This moves output by same amount. 20uV / 22M ohm = 1 pA error added to measurement error.</t>
  </si>
  <si>
    <t xml:space="preserve"> &gt; if you use 1MΩ R_detect and Gate Capacitance (Cg) is 2nF then and you wait 20TC's after switching Master_vCal, then you need to wait</t>
  </si>
  <si>
    <t xml:space="preserve">    1e6 * 2e-9 * 20  = </t>
  </si>
  <si>
    <t xml:space="preserve"> &gt; After adjusting things, wait 50 mSec for everything to calm down (e.g. 1MΩ x 2nF mosfet Cgate = 2mSec timeconstant)</t>
  </si>
  <si>
    <t xml:space="preserve"> &gt; Our resistors are not accurate (e.g. 1%) and that is ok since we measure them during calibration (i.e. 1MΩ and 22MΩ).</t>
  </si>
  <si>
    <t xml:space="preserve"> &gt; DMT10H009SPS Idss (drain to source) leakage is 100nA max with Vgs = 20V. I have no clue what is typical, what you get at higher temperatures, what you get with Vgs = 0V and Vds = 0V.</t>
  </si>
  <si>
    <t xml:space="preserve"> &gt; One might consider having a mux connect multiple MOSFET gates to one op amp, yet the precision 4:1 mux has high leakage (e.g. Dg604, $.60, 0.25nA max at 85C)</t>
  </si>
  <si>
    <t xml:space="preserve"> thick film not stable yet it is cheap and you get high values</t>
  </si>
  <si>
    <t xml:space="preserve"> &gt; We use 16bit a/d different input to measure difference between Master_vCal and G = -22 Inverting Amplifier Output </t>
  </si>
  <si>
    <t xml:space="preserve"> &gt; Observed accuracy post calibration: 11pA total observed error = (5pA from leakage change at In+ pin after change from Vcm = 2V to 0V)  PLUS (same with IN- pin) PLUS (1uVos change w/ Vcm = 2V to 0V)</t>
  </si>
  <si>
    <t xml:space="preserve"> &gt; We are interested in how gate leakage changes with time, so this above error might be ignored.</t>
  </si>
  <si>
    <t>Max nA</t>
  </si>
  <si>
    <r>
      <t>Maximum Leakage ≤ 10pA @ 25</t>
    </r>
    <r>
      <rPr>
        <u/>
        <sz val="11"/>
        <color theme="9" tint="-0.499984740745262"/>
        <rFont val="Calibri"/>
        <family val="2"/>
      </rPr>
      <t xml:space="preserve">°C,   and Vos Max ≤ 50uV Over Temp </t>
    </r>
  </si>
  <si>
    <r>
      <t>Maximum Leakage ≤ 10pA @ 25</t>
    </r>
    <r>
      <rPr>
        <u/>
        <sz val="11"/>
        <color theme="9" tint="-0.499984740745262"/>
        <rFont val="Calibri"/>
        <family val="2"/>
      </rPr>
      <t>°C,   Vos Max ≤ 50uV Over Temp,   and CMRR min &gt; 100 dB</t>
    </r>
  </si>
  <si>
    <r>
      <t xml:space="preserve">Op Amp, 1ch, ≥ 5MHz GBW, </t>
    </r>
    <r>
      <rPr>
        <sz val="11"/>
        <color theme="9" tint="-0.499984740745262"/>
        <rFont val="Calibri"/>
        <family val="2"/>
      </rPr>
      <t>≥</t>
    </r>
    <r>
      <rPr>
        <sz val="11"/>
        <color theme="9" tint="-0.499984740745262"/>
        <rFont val="Calibri"/>
        <family val="2"/>
        <scheme val="minor"/>
      </rPr>
      <t xml:space="preserve"> 96dB cmrr over temp with +-1V +-Headroom</t>
    </r>
  </si>
  <si>
    <r>
      <t xml:space="preserve">Inductor, ~1uH, ~20A, </t>
    </r>
    <r>
      <rPr>
        <u/>
        <sz val="11"/>
        <color theme="9" tint="-0.499984740745262"/>
        <rFont val="Calibri"/>
        <family val="2"/>
      </rPr>
      <t>≤</t>
    </r>
    <r>
      <rPr>
        <u/>
        <sz val="11"/>
        <color theme="9" tint="-0.499984740745262"/>
        <rFont val="Calibri"/>
        <family val="2"/>
        <scheme val="minor"/>
      </rPr>
      <t xml:space="preserve"> 2mΩ </t>
    </r>
  </si>
  <si>
    <r>
      <t xml:space="preserve">Vout set with 2 resistors, </t>
    </r>
    <r>
      <rPr>
        <u/>
        <sz val="11"/>
        <color theme="9" tint="-0.499984740745262"/>
        <rFont val="Calibri"/>
        <family val="2"/>
      </rPr>
      <t xml:space="preserve">≥ </t>
    </r>
    <r>
      <rPr>
        <u/>
        <sz val="11"/>
        <color theme="9" tint="-0.499984740745262"/>
        <rFont val="Calibri Light"/>
        <family val="2"/>
      </rPr>
      <t xml:space="preserve">500mA rated, </t>
    </r>
    <r>
      <rPr>
        <u/>
        <sz val="11"/>
        <color theme="9" tint="-0.499984740745262"/>
        <rFont val="Calibri"/>
        <family val="2"/>
      </rPr>
      <t xml:space="preserve">≤ </t>
    </r>
    <r>
      <rPr>
        <u/>
        <sz val="11"/>
        <color theme="9" tint="-0.499984740745262"/>
        <rFont val="Calibri Light"/>
        <family val="2"/>
      </rPr>
      <t>2% accurate, Vin ≥ 8V</t>
    </r>
  </si>
  <si>
    <t>LMV321A, LMV324A, LMV358A ($.14/4ch)</t>
  </si>
  <si>
    <t>LMV794 ($0.80/2ch, 88MHz)</t>
  </si>
  <si>
    <t>TLV4333i ($1.12/4ch, 102dB)</t>
  </si>
  <si>
    <t xml:space="preserve">Vcc &lt; 5.5V recommended (7V absolute max), 0.028mA/ch quiesent current </t>
  </si>
  <si>
    <r>
      <t>V</t>
    </r>
    <r>
      <rPr>
        <vertAlign val="subscript"/>
        <sz val="11"/>
        <color theme="1"/>
        <rFont val="Calibri"/>
        <family val="2"/>
        <scheme val="minor"/>
      </rPr>
      <t>OS</t>
    </r>
  </si>
  <si>
    <r>
      <t>I</t>
    </r>
    <r>
      <rPr>
        <vertAlign val="subscript"/>
        <sz val="11"/>
        <color theme="1"/>
        <rFont val="Calibri"/>
        <family val="2"/>
        <scheme val="minor"/>
      </rPr>
      <t>BIAS</t>
    </r>
  </si>
  <si>
    <t xml:space="preserve">   Main Amplifier, 0 to 85Vin</t>
  </si>
  <si>
    <t xml:space="preserve">    ±30mV shunt measurement, SE</t>
  </si>
  <si>
    <t xml:space="preserve">   Leakage Current Measure, ±50pA</t>
  </si>
  <si>
    <t>OPA388IDR ($1.12/1ch, $1.66/2ch, $2.24/4ch)</t>
  </si>
  <si>
    <t>OPA388IDR (124dB, 15uVos, 10MHz, $1.12/1ch, $1.66/2ch, $2.24/4ch)</t>
  </si>
  <si>
    <t>TLV9064IPWR ($0.47/4ch, TI)</t>
  </si>
  <si>
    <t>Vpwr+ Power</t>
  </si>
  <si>
    <t>Vpwr- Power</t>
  </si>
  <si>
    <r>
      <t xml:space="preserve">Vmeas (V)   </t>
    </r>
    <r>
      <rPr>
        <sz val="9"/>
        <color theme="1"/>
        <rFont val="Calibri"/>
        <family val="2"/>
      </rPr>
      <t>­</t>
    </r>
    <r>
      <rPr>
        <sz val="9"/>
        <color theme="1"/>
        <rFont val="Calibri Light"/>
        <family val="2"/>
      </rPr>
      <t>Headroom</t>
    </r>
  </si>
  <si>
    <t>Vmeas (V)   +Headroom</t>
  </si>
  <si>
    <t>OpAmp Out Min (V)</t>
  </si>
  <si>
    <t>OpAmp Out Max (V)</t>
  </si>
  <si>
    <r>
      <t xml:space="preserve">OpAmp (V)   </t>
    </r>
    <r>
      <rPr>
        <sz val="9"/>
        <color theme="1"/>
        <rFont val="Calibri"/>
        <family val="2"/>
      </rPr>
      <t>­</t>
    </r>
    <r>
      <rPr>
        <sz val="9"/>
        <color theme="1"/>
        <rFont val="Calibri Light"/>
        <family val="2"/>
      </rPr>
      <t>Headroom</t>
    </r>
  </si>
  <si>
    <t>OPA388 Main High Voltage Amp</t>
  </si>
  <si>
    <t>Vmeasure   Max (V)</t>
  </si>
  <si>
    <t>Vmeasure   Min (V)</t>
  </si>
  <si>
    <r>
      <t>Op Amps w/ 0 to 3.3V V</t>
    </r>
    <r>
      <rPr>
        <vertAlign val="subscript"/>
        <sz val="11"/>
        <color theme="1"/>
        <rFont val="Calibri"/>
        <family val="2"/>
        <scheme val="minor"/>
      </rPr>
      <t>CM</t>
    </r>
  </si>
  <si>
    <r>
      <t>A</t>
    </r>
    <r>
      <rPr>
        <vertAlign val="subscript"/>
        <sz val="11"/>
        <color theme="1"/>
        <rFont val="Calibri"/>
        <family val="2"/>
        <scheme val="minor"/>
      </rPr>
      <t>IN</t>
    </r>
    <r>
      <rPr>
        <sz val="11"/>
        <color theme="1"/>
        <rFont val="Calibri"/>
        <family val="2"/>
        <scheme val="minor"/>
      </rPr>
      <t xml:space="preserve"> absolute max range is -1V to (V</t>
    </r>
    <r>
      <rPr>
        <vertAlign val="subscript"/>
        <sz val="11"/>
        <color theme="1"/>
        <rFont val="Calibri"/>
        <family val="2"/>
        <scheme val="minor"/>
      </rPr>
      <t>DDP</t>
    </r>
    <r>
      <rPr>
        <sz val="11"/>
        <color theme="1"/>
        <rFont val="Calibri"/>
        <family val="2"/>
        <scheme val="minor"/>
      </rPr>
      <t xml:space="preserve"> + 1V), V</t>
    </r>
    <r>
      <rPr>
        <vertAlign val="subscript"/>
        <sz val="11"/>
        <color theme="1"/>
        <rFont val="Calibri"/>
        <family val="2"/>
        <scheme val="minor"/>
      </rPr>
      <t>DDP</t>
    </r>
    <r>
      <rPr>
        <sz val="11"/>
        <color theme="1"/>
        <rFont val="Calibri"/>
        <family val="2"/>
        <scheme val="minor"/>
      </rPr>
      <t xml:space="preserve"> = 3.3V in our case, internal protection diode inside IC goes to Digital pwr not V</t>
    </r>
    <r>
      <rPr>
        <vertAlign val="subscript"/>
        <sz val="11"/>
        <color theme="1"/>
        <rFont val="Calibri"/>
        <family val="2"/>
        <scheme val="minor"/>
      </rPr>
      <t>DDA</t>
    </r>
    <r>
      <rPr>
        <sz val="11"/>
        <color theme="1"/>
        <rFont val="Calibri"/>
        <family val="2"/>
        <scheme val="minor"/>
      </rPr>
      <t xml:space="preserve"> analog power, 10mA max clamp</t>
    </r>
  </si>
  <si>
    <t>Op Amps that drive A/D IC that have Vcc = 4.3V need 0.3V schottkey tied to 3.3V so that it turns on at 3.6V and keeps current away from A/D IC</t>
  </si>
  <si>
    <t>MCP3461 Analog Input Range, DI</t>
  </si>
  <si>
    <t>KΩ Input Impedance</t>
  </si>
  <si>
    <t>Leakage Current uA</t>
  </si>
  <si>
    <t>3.45V_Clamp (Analog)</t>
  </si>
  <si>
    <t>Sim file "3.45V_Clamp_Via_Shunt, v1b.TSC" calculates min/max for 3.45V_Clamp. And it shows clamped voltage as 0.25V more than this (schottky forward voltage drop)</t>
  </si>
  <si>
    <t>Clamped Voltage</t>
  </si>
  <si>
    <t>3.45V_Clmp Min V</t>
  </si>
  <si>
    <t>3.45V_Clmp Max V</t>
  </si>
  <si>
    <t>3.45V_Clmp Typ V</t>
  </si>
  <si>
    <t>Clamped Voltage Min</t>
  </si>
  <si>
    <t>Clamped Voltage Typ</t>
  </si>
  <si>
    <t>Clamped Voltage Max</t>
  </si>
  <si>
    <t>"Clamped Voltage" is the voltage that you get after schottky diode pulls you down to 3.45V_Clamp</t>
  </si>
  <si>
    <t>Schottky vDrop</t>
  </si>
  <si>
    <t>Load (uA)</t>
  </si>
  <si>
    <r>
      <t>A</t>
    </r>
    <r>
      <rPr>
        <vertAlign val="subscript"/>
        <sz val="11"/>
        <color theme="1"/>
        <rFont val="Calibri"/>
        <family val="2"/>
        <scheme val="minor"/>
      </rPr>
      <t>IN</t>
    </r>
    <r>
      <rPr>
        <sz val="11"/>
        <color theme="1"/>
        <rFont val="Calibri"/>
        <family val="2"/>
        <scheme val="minor"/>
      </rPr>
      <t xml:space="preserve"> input capacitance is 14pF base and also connects to switch that attaches to an additional 6pF (20pF total)</t>
    </r>
  </si>
  <si>
    <t>Alternative Analog Reference Input is 10pF base and also connects to switch that attaches to an additional 30pF (40pF total)</t>
  </si>
  <si>
    <r>
      <t xml:space="preserve">          We get 500nA leakage with 0 to 100mV measurement; and 200nA leakage with 100mV to 3.3V measurement (6MΩ Input Z = 3V / 500nA</t>
    </r>
    <r>
      <rPr>
        <sz val="11"/>
        <color theme="1"/>
        <rFont val="Calibri"/>
        <family val="2"/>
      </rPr>
      <t>)</t>
    </r>
  </si>
  <si>
    <r>
      <t>Recommended power supply is 2.7V to 3.6V.  Absolute Max is 4.0V.  Current consumption is 1mA (A</t>
    </r>
    <r>
      <rPr>
        <vertAlign val="subscript"/>
        <sz val="11"/>
        <color theme="1"/>
        <rFont val="Calibri"/>
        <family val="2"/>
        <scheme val="minor"/>
      </rPr>
      <t>IDD</t>
    </r>
    <r>
      <rPr>
        <sz val="11"/>
        <color theme="1"/>
        <rFont val="Calibri"/>
        <family val="2"/>
        <scheme val="minor"/>
      </rPr>
      <t>)</t>
    </r>
  </si>
  <si>
    <r>
      <t>Recommended power supply is 1.8V to (A</t>
    </r>
    <r>
      <rPr>
        <vertAlign val="subscript"/>
        <sz val="11"/>
        <color theme="1"/>
        <rFont val="Calibri"/>
        <family val="2"/>
        <scheme val="minor"/>
      </rPr>
      <t>VDD</t>
    </r>
    <r>
      <rPr>
        <sz val="11"/>
        <color theme="1"/>
        <rFont val="Calibri"/>
        <family val="2"/>
        <scheme val="minor"/>
      </rPr>
      <t xml:space="preserve"> + 0.1V).  Current consumption is 0.3mA (D</t>
    </r>
    <r>
      <rPr>
        <vertAlign val="subscript"/>
        <sz val="11"/>
        <color theme="1"/>
        <rFont val="Calibri"/>
        <family val="2"/>
        <scheme val="minor"/>
      </rPr>
      <t>IDD</t>
    </r>
    <r>
      <rPr>
        <sz val="11"/>
        <color theme="1"/>
        <rFont val="Calibri"/>
        <family val="2"/>
        <scheme val="minor"/>
      </rPr>
      <t>)</t>
    </r>
  </si>
  <si>
    <t>Input Impedance between In+ and In-: 20KΩ G=16 (0.2V/20KΩ=10uA), 260KΩ G=1 (3V/260KΩ=11uA), 510KΩ G=0.33 (3V/510KΩ=5uA)</t>
  </si>
  <si>
    <t>Internal capacitors are switched in to these inputs (dynamic input impedance), yet their values are not specified.</t>
  </si>
  <si>
    <r>
      <t>Operates in Single-Ended (w.r.t. REFIn- connected to Zero_20mA) or Differential Mode (IN</t>
    </r>
    <r>
      <rPr>
        <vertAlign val="superscript"/>
        <sz val="11"/>
        <color theme="1"/>
        <rFont val="Calibri"/>
        <family val="2"/>
        <scheme val="minor"/>
      </rPr>
      <t>+</t>
    </r>
    <r>
      <rPr>
        <sz val="11"/>
        <color theme="1"/>
        <rFont val="Calibri"/>
        <family val="2"/>
        <scheme val="minor"/>
      </rPr>
      <t xml:space="preserve"> - IN</t>
    </r>
    <r>
      <rPr>
        <vertAlign val="superscript"/>
        <sz val="11"/>
        <color theme="1"/>
        <rFont val="Calibri"/>
        <family val="2"/>
        <scheme val="minor"/>
      </rPr>
      <t>-</t>
    </r>
    <r>
      <rPr>
        <sz val="11"/>
        <color theme="1"/>
        <rFont val="Calibri"/>
        <family val="2"/>
        <scheme val="minor"/>
      </rPr>
      <t>)</t>
    </r>
  </si>
  <si>
    <t>Input Impedance (mA and Ω), and switched capacitors values (pF), are not specified</t>
  </si>
  <si>
    <t>2Ω max 85°C</t>
  </si>
  <si>
    <t>4Ω max 85°C</t>
  </si>
  <si>
    <t>CL10B105MO8NNWC</t>
  </si>
  <si>
    <t>https://www.digikey.com/product-detail/en/samsung-electro-mechanics/CL10B105MO8NNWC/1276-6524-2-ND/5961008</t>
  </si>
  <si>
    <t>Capacitor, 10 to 25V, 1 to 10uF, -55C to 125C, 0603 .. 1206</t>
  </si>
  <si>
    <t xml:space="preserve"> -0.1 to (Vcc - 1.0); yet cmrr is better with +1.4V +Headroom</t>
  </si>
  <si>
    <t>Calibration System</t>
  </si>
  <si>
    <t>R1</t>
  </si>
  <si>
    <t>R2</t>
  </si>
  <si>
    <t>R3</t>
  </si>
  <si>
    <t>R4</t>
  </si>
  <si>
    <t>LMV344</t>
  </si>
  <si>
    <t>https://www.digikey.com/product-detail/en/texas-instruments/LMV344IPWR/296-18596-2-ND/858595</t>
  </si>
  <si>
    <t>300pA max @ 85C,      1typ 200max @ 25C (Vcc = 5V)</t>
  </si>
  <si>
    <t>4.5 max over temp</t>
  </si>
  <si>
    <t>1.9 typ (max not specified)</t>
  </si>
  <si>
    <t>50 min OT, Vcm = 0..(Vcc-1.1)</t>
  </si>
  <si>
    <t>260 typ</t>
  </si>
  <si>
    <t>0 to (Vcc - 1.1) for decent cmrr</t>
  </si>
  <si>
    <t>0.2V to (Vcc-0.2V) for good open loop gain</t>
  </si>
  <si>
    <t>0.6 typ (max not specified)</t>
  </si>
  <si>
    <t>5pA Typical at 25C, no other data shown in table</t>
  </si>
  <si>
    <t>95typ (min not specified) dB cmrr for vin = -0.1 to (Vcc-1.4) over temp Vcc=5.5V</t>
  </si>
  <si>
    <t xml:space="preserve"> +0.2 to (Vcc-0.6)</t>
  </si>
  <si>
    <t xml:space="preserve"> -0.1 to (Vcc - 1.4) for good cmrr</t>
  </si>
  <si>
    <t>0.15V to (Vcc-0.15V) for good open loop gain</t>
  </si>
  <si>
    <t>Resistor Temp Drift</t>
  </si>
  <si>
    <t>ppm/°C</t>
  </si>
  <si>
    <t>°C</t>
  </si>
  <si>
    <t>Ω after N°C increase</t>
  </si>
  <si>
    <t>Ω after N°C decrease</t>
  </si>
  <si>
    <t>ohms @ 25°C (Ω)</t>
  </si>
  <si>
    <t>Output Voltage</t>
  </si>
  <si>
    <t>Temp Drift</t>
  </si>
  <si>
    <t>Resistor Ladder</t>
  </si>
  <si>
    <t>Part #</t>
  </si>
  <si>
    <t>Vout @ 25°C</t>
  </si>
  <si>
    <t>Chg @ N°C (µV)</t>
  </si>
  <si>
    <t>Chg @ N°C (ratio)</t>
  </si>
  <si>
    <t>Chg @ N°C (%)</t>
  </si>
  <si>
    <t>ratio max @ (25+N)°C</t>
  </si>
  <si>
    <t>ratio min @ (25+N)°C</t>
  </si>
  <si>
    <t>Vout max @ (25+N)°C</t>
  </si>
  <si>
    <t>Vout min @   (25-N)°C</t>
  </si>
  <si>
    <t>"N" DegreesTemp Chg</t>
  </si>
  <si>
    <t>Change due to resistor ladder temp drift (not op amp Vos/cmrr error or vRef ic temp drift)</t>
  </si>
  <si>
    <t>Cal Strategy</t>
  </si>
  <si>
    <t>Gain</t>
  </si>
  <si>
    <t>initial vRef ic error</t>
  </si>
  <si>
    <t>LMV321</t>
  </si>
  <si>
    <t>Max Vos Over Temp</t>
  </si>
  <si>
    <t>a/d initial gain error (G = 1..16, 16bit a/d, resistors between ref input and measurement)</t>
  </si>
  <si>
    <t>MCP3461</t>
  </si>
  <si>
    <t>Initial Gain Error</t>
  </si>
  <si>
    <t>Components</t>
  </si>
  <si>
    <t>16bit a/d Vin Range</t>
  </si>
  <si>
    <t>MCP3561 initial offset error w/o calibration</t>
  </si>
  <si>
    <t>Errors</t>
  </si>
  <si>
    <t>TOTAL initial gain error with a 16bit a/d measurement, pre-calibration (g = 1..16)</t>
  </si>
  <si>
    <t>TOTAL initial offset error with a 16bit a/d measurement, pre-calibration (g = 1..16)</t>
  </si>
  <si>
    <t>op amp Vos error, 2 op amps, route vCal voltages to A/D</t>
  </si>
  <si>
    <t>3.1Vcal_Buf</t>
  </si>
  <si>
    <t>&lt;&lt; this is the actual maximum vin range given the possible maximum initial gain/offset errors, which is also the target vCal voltages</t>
  </si>
  <si>
    <t>High vCal Voltages</t>
  </si>
  <si>
    <t xml:space="preserve">Initial </t>
  </si>
  <si>
    <t>Cal Procedure</t>
  </si>
  <si>
    <t>* Measure Master_vCal_Buff voltages (e.g. 3.1/1.5/.75/.38/.18) with 6 digit factory DVM and also with 16bit a/d on PCB (at G=1..16), and store all data in eeprom.</t>
  </si>
  <si>
    <t>In Field:</t>
  </si>
  <si>
    <t xml:space="preserve">At Factory: </t>
  </si>
  <si>
    <t>* Measure Master_vCal_Buff voltages (e.g. 3.1/1.5/.75/.38/.18) with 16bit a/d at G=1..16, using the stored mapping, and then use these voltages as our understand of these master vCal voltages.</t>
  </si>
  <si>
    <t xml:space="preserve">   &gt; these voltages will have changed a bit due to resistor ladder drift and op amp Vos drift, yet that is ok and can be ignored since we calibrate it out.</t>
  </si>
  <si>
    <t>* Assume the vRef ic and the 16bit a/d mapping (voltage to code) has not changed since factory calibration.</t>
  </si>
  <si>
    <r>
      <t>* Given these known voltages, calculate op amp V</t>
    </r>
    <r>
      <rPr>
        <vertAlign val="subscript"/>
        <sz val="11"/>
        <color theme="1"/>
        <rFont val="Calibri"/>
        <family val="2"/>
        <scheme val="minor"/>
      </rPr>
      <t>OS</t>
    </r>
    <r>
      <rPr>
        <sz val="11"/>
        <color theme="1"/>
        <rFont val="Calibri"/>
        <family val="2"/>
        <scheme val="minor"/>
      </rPr>
      <t xml:space="preserve"> errors and calibrate 12bit a/d inside </t>
    </r>
    <r>
      <rPr>
        <sz val="11"/>
        <color theme="1"/>
        <rFont val="Calibri"/>
        <family val="2"/>
      </rPr>
      <t>µ</t>
    </r>
    <r>
      <rPr>
        <sz val="11"/>
        <color theme="1"/>
        <rFont val="Calibri"/>
        <family val="2"/>
        <scheme val="minor"/>
      </rPr>
      <t>Processor.</t>
    </r>
  </si>
  <si>
    <t>vCal Name</t>
  </si>
  <si>
    <t>1.5Vcal</t>
  </si>
  <si>
    <t>380mVcal</t>
  </si>
  <si>
    <t>180mVcal</t>
  </si>
  <si>
    <t>750mVcal_Buf</t>
  </si>
  <si>
    <t xml:space="preserve"> * We are dependent on two things that we do not want to change: vRef IC output (3.3V) that drives 16bit a/d REF input, and the ratio of the 16bit a/d IC internal gain resistors.</t>
  </si>
  <si>
    <t xml:space="preserve"> * All other errors are calibrated out, given a temperature change.</t>
  </si>
  <si>
    <t xml:space="preserve"> * vCal voltage do change after factory calibration yet we don't care since they are measured in field. </t>
  </si>
  <si>
    <t xml:space="preserve">    They change due to: op amp Vos/°C temperature drift, op amp leakage current into resistor ladder, and resistor ladder ppm/°C temperature drift.</t>
  </si>
  <si>
    <t>Signal Name</t>
  </si>
  <si>
    <t>total ppm change</t>
  </si>
  <si>
    <t>ppm</t>
  </si>
  <si>
    <t>Thermal Insulation</t>
  </si>
  <si>
    <t>https://en.wikipedia.org/wiki/List_of_insulation_materials</t>
  </si>
  <si>
    <t>List of Thermal Conductivities</t>
  </si>
  <si>
    <t>List of Insulation Materials</t>
  </si>
  <si>
    <t>https://en.wikipedia.org/wiki/Tempered_glass</t>
  </si>
  <si>
    <t>Tempered Glass</t>
  </si>
  <si>
    <t>Corning Willow-Glass</t>
  </si>
  <si>
    <t>Surviving Hailstones</t>
  </si>
  <si>
    <t>https://www.thesolarnerd.com/blog/can-solar-panels-be-damaged-by-hail/</t>
  </si>
  <si>
    <t>https://webstore.iec.ch/publication/4928</t>
  </si>
  <si>
    <t>IEC 61215 has been partially replaced by IEC 61215-2:2016 IEC 61215-1:2016 IEC 61215-1-1:2016</t>
  </si>
  <si>
    <t>Can solar panels be damaged by hail?</t>
  </si>
  <si>
    <t>3m Materials used in Solar Panels</t>
  </si>
  <si>
    <t>Solar Panel Components</t>
  </si>
  <si>
    <t>https://plasticker.de/preise/pms_en.php?kat=Mahlgut&amp;aog=A&amp;show=ok&amp;make=ok</t>
  </si>
  <si>
    <t>Price of plastics, per Kg</t>
  </si>
  <si>
    <t>Solar Materials</t>
  </si>
  <si>
    <t>Glass</t>
  </si>
  <si>
    <t>https://www.cesa.org/wp-content/uploads/Standards-and-Requirements-for-Solar.pdf</t>
  </si>
  <si>
    <t>Standards and Requirements for Solar Equipment, Installation, and Licensing and Certification</t>
  </si>
  <si>
    <t>National Electric Cd</t>
  </si>
  <si>
    <t>(3/12 ) * {[3*100 ] + [2*200 *.20] + [2*100 ] + [1*200 *.50] + [2*200 *.20] + [1*60 *.70] + [1*60 *.70]}</t>
  </si>
  <si>
    <t>(3/12 ) * ([3*100 ] + [2*200 *.20] + [2*100 ] + [1*200 *.50] + [2*200 *.20] + [1*60 *.70] + [1*60 *.70])</t>
  </si>
  <si>
    <t>http://www.bgf.com/technical/glass-properties/</t>
  </si>
  <si>
    <t>Fiberglass cloth</t>
  </si>
  <si>
    <t>R1 (Ω)</t>
  </si>
  <si>
    <t>R2 (Ω)</t>
  </si>
  <si>
    <t>R Ratio Min</t>
  </si>
  <si>
    <t>R Ratio Max</t>
  </si>
  <si>
    <t>R accuracy</t>
  </si>
  <si>
    <t>target max voltage</t>
  </si>
  <si>
    <t xml:space="preserve"> &gt; Sim shows: 850pA @ 1.2V, 1200pA @ 1.7v, 1900pA @ 2.3V</t>
  </si>
  <si>
    <t>Change due to temp drift (not initial accuracy)</t>
  </si>
  <si>
    <t>vCal target Max</t>
  </si>
  <si>
    <t>initial resistor ladder #1 error (two 0.5% resistors)</t>
  </si>
  <si>
    <t>initial resistor ladder #2 error (two 0.5% resistors)</t>
  </si>
  <si>
    <t>Source Of Errors</t>
  </si>
  <si>
    <t>Thin Film Resistors (0.5%, 25ppm/C)</t>
  </si>
  <si>
    <t>max initial error from two 0.5% resistors, at 25C</t>
  </si>
  <si>
    <t xml:space="preserve"> same as above, yet over temp</t>
  </si>
  <si>
    <t>Op Amp Vos Error, Over Temp</t>
  </si>
  <si>
    <t>Op Amp CMRR Error (Vos changes 0.1% of Vcm), Over Temp</t>
  </si>
  <si>
    <t>LMV321 Op Amp</t>
  </si>
  <si>
    <t>Vout typ @ 25°C (V)</t>
  </si>
  <si>
    <r>
      <t xml:space="preserve">R Ratio </t>
    </r>
    <r>
      <rPr>
        <b/>
        <sz val="9"/>
        <color theme="1"/>
        <rFont val="Calibri Light"/>
        <family val="2"/>
      </rPr>
      <t>Typ</t>
    </r>
  </si>
  <si>
    <r>
      <t xml:space="preserve">Vout </t>
    </r>
    <r>
      <rPr>
        <b/>
        <sz val="9"/>
        <color theme="1"/>
        <rFont val="Calibri Light"/>
        <family val="2"/>
      </rPr>
      <t>Typ</t>
    </r>
  </si>
  <si>
    <r>
      <t xml:space="preserve">ratio </t>
    </r>
    <r>
      <rPr>
        <b/>
        <sz val="9"/>
        <color theme="1"/>
        <rFont val="Calibri Light"/>
        <family val="2"/>
      </rPr>
      <t>Typ</t>
    </r>
    <r>
      <rPr>
        <sz val="9"/>
        <color theme="1"/>
        <rFont val="Calibri Light"/>
        <family val="2"/>
      </rPr>
      <t xml:space="preserve"> @ 25°C (Ω)</t>
    </r>
  </si>
  <si>
    <t>Vin Min</t>
  </si>
  <si>
    <t>Vin Max</t>
  </si>
  <si>
    <t>Vout MIN</t>
  </si>
  <si>
    <t>Vout MAX</t>
  </si>
  <si>
    <t>Vcal MIN</t>
  </si>
  <si>
    <t>Vcal MAX</t>
  </si>
  <si>
    <r>
      <t xml:space="preserve">Vcal </t>
    </r>
    <r>
      <rPr>
        <b/>
        <sz val="9"/>
        <color theme="1"/>
        <rFont val="Calibri Light"/>
        <family val="2"/>
      </rPr>
      <t>Typ</t>
    </r>
    <r>
      <rPr>
        <sz val="9"/>
        <color theme="1"/>
        <rFont val="Calibri Light"/>
        <family val="2"/>
      </rPr>
      <t xml:space="preserve"> (V)</t>
    </r>
  </si>
  <si>
    <t>Purpose</t>
  </si>
  <si>
    <t>Low vCal Voltages</t>
  </si>
  <si>
    <t>Cal Voltages</t>
  </si>
  <si>
    <t>Vcalibration</t>
  </si>
  <si>
    <t>apply this voltage to system to measure resistor ratios, with PV and gate power off, and with Gate Voltage held to 0 Volts</t>
  </si>
  <si>
    <t>85mVcal</t>
  </si>
  <si>
    <t>Mux</t>
  </si>
  <si>
    <t>Max Leakage Over Temp</t>
  </si>
  <si>
    <t>NLAST4051</t>
  </si>
  <si>
    <t>mux leakage uV err</t>
  </si>
  <si>
    <t>Vos Error (V)</t>
  </si>
  <si>
    <t>35mVcal -- Not Used</t>
  </si>
  <si>
    <t>Calibrate G=30 resistor ratios, 85mV * 30 = 2.55V</t>
  </si>
  <si>
    <t>Calibrate G=120 resistor ratios, 13mV * 120 = 1.56V</t>
  </si>
  <si>
    <t>Measure 16bit a/d G=1 resistor ratio.</t>
  </si>
  <si>
    <t>Measure 16bit a/d G=2 resistor ratio.</t>
  </si>
  <si>
    <t>Measure 16bit a/d G=4 resistor ratio.</t>
  </si>
  <si>
    <t>Measure 16bit a/d G=8 resistor ratio.</t>
  </si>
  <si>
    <t>Measure 16bit a/d G=16 resistor ratio.</t>
  </si>
  <si>
    <t>vRef for uProcessor a/d and 16bit a/d.</t>
  </si>
  <si>
    <t>13mVcal</t>
  </si>
  <si>
    <t>Ref Voltages</t>
  </si>
  <si>
    <t>94mVref_Passive</t>
  </si>
  <si>
    <t>2.81mVref_Passive</t>
  </si>
  <si>
    <t>Detect &gt;88V</t>
  </si>
  <si>
    <t>Detect &lt;3V</t>
  </si>
  <si>
    <t>220mVref_Passive</t>
  </si>
  <si>
    <r>
      <t xml:space="preserve">Current Shunt </t>
    </r>
    <r>
      <rPr>
        <sz val="9"/>
        <rFont val="Calibri"/>
        <family val="2"/>
      </rPr>
      <t>±</t>
    </r>
    <r>
      <rPr>
        <sz val="9"/>
        <rFont val="Calibri Light"/>
        <family val="2"/>
      </rPr>
      <t>30mV</t>
    </r>
  </si>
  <si>
    <r>
      <t>These are created with 3.3V_Unbuffered (3.3Vref IC) which drives 10K</t>
    </r>
    <r>
      <rPr>
        <sz val="11"/>
        <rFont val="Calibri"/>
        <family val="2"/>
      </rPr>
      <t>Ω</t>
    </r>
    <r>
      <rPr>
        <sz val="11"/>
        <rFont val="Calibri"/>
        <family val="2"/>
        <scheme val="minor"/>
      </rPr>
      <t xml:space="preserve"> voltage divider. Output is passive and drives op amp Input pin (no static or dynamic load, no switching to destabilize 3.3Vref ic). 1uF at OpAmp input pin reduces noise.</t>
    </r>
  </si>
  <si>
    <r>
      <t xml:space="preserve">Max gain error is </t>
    </r>
    <r>
      <rPr>
        <sz val="11"/>
        <color theme="1"/>
        <rFont val="Calibri"/>
        <family val="2"/>
      </rPr>
      <t>±</t>
    </r>
    <r>
      <rPr>
        <sz val="11"/>
        <color theme="1"/>
        <rFont val="Calibri"/>
        <family val="2"/>
        <scheme val="minor"/>
      </rPr>
      <t>6LSB and max offset error is ±6LSB.  3.3V * 6/4096 = ±5mV. We can assume input measurement range between +-5mV and (3.3V +- 5mV).   Minimum range would be +5mV to 3.295V.</t>
    </r>
  </si>
  <si>
    <r>
      <t>Voltage input range is  -0.1V and (AV</t>
    </r>
    <r>
      <rPr>
        <vertAlign val="subscript"/>
        <sz val="11"/>
        <color theme="1"/>
        <rFont val="Calibri"/>
        <family val="2"/>
        <scheme val="minor"/>
      </rPr>
      <t>DD</t>
    </r>
    <r>
      <rPr>
        <sz val="11"/>
        <color theme="1"/>
        <rFont val="Calibri"/>
        <family val="2"/>
        <scheme val="minor"/>
      </rPr>
      <t>+0.1).   AV</t>
    </r>
    <r>
      <rPr>
        <vertAlign val="subscript"/>
        <sz val="11"/>
        <color theme="1"/>
        <rFont val="Calibri"/>
        <family val="2"/>
        <scheme val="minor"/>
      </rPr>
      <t>DD</t>
    </r>
    <r>
      <rPr>
        <sz val="11"/>
        <color theme="1"/>
        <rFont val="Calibri"/>
        <family val="2"/>
        <scheme val="minor"/>
      </rPr>
      <t xml:space="preserve"> = 3.6V in our case; therefore, Absolute Max input voltage is -0.3V and (AV</t>
    </r>
    <r>
      <rPr>
        <vertAlign val="subscript"/>
        <sz val="11"/>
        <color theme="1"/>
        <rFont val="Calibri"/>
        <family val="2"/>
        <scheme val="minor"/>
      </rPr>
      <t>DD</t>
    </r>
    <r>
      <rPr>
        <sz val="11"/>
        <color theme="1"/>
        <rFont val="Calibri"/>
        <family val="2"/>
        <scheme val="minor"/>
      </rPr>
      <t>+0.3).  Absolute max current is 5mA</t>
    </r>
  </si>
  <si>
    <r>
      <t xml:space="preserve">Max gain error is </t>
    </r>
    <r>
      <rPr>
        <sz val="11"/>
        <color theme="1"/>
        <rFont val="Calibri"/>
        <family val="2"/>
      </rPr>
      <t>±3%. With Vref=3.3V, this is 3.3V * 3% = ±100mV. Therefore, Max Input Range is ±3.2V (not 3.3V)</t>
    </r>
  </si>
  <si>
    <t>Xmc42xx A/D Analog In Range, SE</t>
  </si>
  <si>
    <t>Max Gain Error (V)</t>
  </si>
  <si>
    <t>Max Offset Error (V)</t>
  </si>
  <si>
    <t>Smallest Analog Input Range (given both A/D's)</t>
  </si>
  <si>
    <t>1 / Gain</t>
  </si>
  <si>
    <t xml:space="preserve">ratio =  </t>
  </si>
  <si>
    <t xml:space="preserve"> * These two things do have temperature drift: 2ppm/°C ratio drift from A/D internal gain resistors and 8ppm/°C drift from vRef IC. This is 500ppm (50*(8+2)) change after 50°C movement (0.05% total, 1 out of 2000 gain error).</t>
  </si>
  <si>
    <t>OPA388, 1Ch, $1.12, 10MHz, 7uVos mx OT, 400pA mx OT, 5V/uS, 124dB min OT, In -.05V to (Vcc+0.1V), Out 300mV to (Vcc-300mV)</t>
  </si>
  <si>
    <r>
      <t xml:space="preserve"> * Current Shunt Amplifier ICSA) Vos and resistor ratios are "measured" via known vCal voltages in the field; therefore the only error here (assuming vCal &amp; 16bit A/D is accurate) is amplifier op amp CMRR and pA/</t>
    </r>
    <r>
      <rPr>
        <sz val="11"/>
        <color theme="1"/>
        <rFont val="Calibri"/>
        <family val="2"/>
      </rPr>
      <t>Ω matching between 8:1 mux channels.</t>
    </r>
  </si>
  <si>
    <t xml:space="preserve"> * Main Voltage Amplifier (MVA) Vos and resistor ratios are "measured" via known vCal voltages in the field; therefore the only error here (assuming vCal &amp; 16bit A/D is accurate )is amplifier op amp CMRR and pA/Ω matching between 8:1 mux channels.</t>
  </si>
  <si>
    <t>400K/10K/15pF: 1.15MHz</t>
  </si>
  <si>
    <t>I/O Cap, typ (Off Sorce pF)</t>
  </si>
  <si>
    <t>Com Cap Typ             (On Drain pF)</t>
  </si>
  <si>
    <t>"bypass" removes mux capacitance</t>
  </si>
  <si>
    <t>add 35pF at op amp IN- and you reduce BW by 2x</t>
  </si>
  <si>
    <t>Fc (MHz)</t>
  </si>
  <si>
    <t>ADG408, Analog Dev</t>
  </si>
  <si>
    <t>Mux Capacitance is not effecting BW much (also, voltage at IN- pin is stationary). However, Rfb x Cfb = BW Limitation (e.g. 7pF x 30KΩ = 0.8MHz,  20pF x 5KΩ = 1.6MHz)</t>
  </si>
  <si>
    <t>Opa388</t>
  </si>
  <si>
    <t>Opa794</t>
  </si>
  <si>
    <t>Lmv7707</t>
  </si>
  <si>
    <t xml:space="preserve">Opa1637 no tina, Opa134/Opa172/Opa192/Opa197/Opa189 bad headroom, Tlc08x bad headroom </t>
  </si>
  <si>
    <t>Tlv9062</t>
  </si>
  <si>
    <t>Rfb &amp; Cfb</t>
  </si>
  <si>
    <t>Cfb (pF)</t>
  </si>
  <si>
    <t>Adg408 Mux in place, inverter</t>
  </si>
  <si>
    <t>Bypass Adg408 Mux, Inverter</t>
  </si>
  <si>
    <t>Bypass Adg408 Mux, add 35pF, Inverter</t>
  </si>
  <si>
    <t>Adg408 Disabled, Non-Inverter</t>
  </si>
  <si>
    <t xml:space="preserve">1.2MΩ/30KΩ/10pF: 0.7MHz </t>
  </si>
  <si>
    <t xml:space="preserve">1.2MΩ/30KΩ/4pF: 3MHz </t>
  </si>
  <si>
    <t xml:space="preserve">1.2MΩ/30KΩ/7pF: 1.4MHz </t>
  </si>
  <si>
    <t xml:space="preserve">1.2MΩ/30KΩ/3pF: 1.9MHz </t>
  </si>
  <si>
    <t xml:space="preserve">1.2MΩ/30KΩ/7pF: 0.9MHz </t>
  </si>
  <si>
    <t>200KΩ/5KΩ/30pF: 1.5MHz</t>
  </si>
  <si>
    <t xml:space="preserve">166kΩ/5KΩ/30pF: 1.1MHz </t>
  </si>
  <si>
    <t xml:space="preserve">166kΩ/5KΩ/20pF: 1.9MHz </t>
  </si>
  <si>
    <t xml:space="preserve">1KΩ/220pF: 10MHz </t>
  </si>
  <si>
    <t>some gain peaking, 1k x 220 = 7MHz yet we see 10x more</t>
  </si>
  <si>
    <t xml:space="preserve">1MΩ/33KΩ/10pF: 0.7MHz </t>
  </si>
  <si>
    <t>62 max over temp for Vcm = -0.1V to Vcc-1.65V,      55 if Vcm gets closer to Vcc</t>
  </si>
  <si>
    <t>55min for Vin = 0 to Vcc (no headroom) at Over Temp, 3.3Vcc.       Or, 60min / 78typ dB cmrr for Vin = 0 to Vcc (no headroom), 3.3Vcc at 25°C.</t>
  </si>
  <si>
    <t>73dB min OT cmrr with 1.3V +Headroom w/ 5.5Vcc.    75min 96typ @ 25°C.</t>
  </si>
  <si>
    <t>ADG601</t>
  </si>
  <si>
    <t>Feedback Loop</t>
  </si>
  <si>
    <t>(observed on sim)</t>
  </si>
  <si>
    <t>Spst</t>
  </si>
  <si>
    <t>Adg601 OFF</t>
  </si>
  <si>
    <t>IN- 8:1 Mux</t>
  </si>
  <si>
    <t>Disabled</t>
  </si>
  <si>
    <t>Enabled</t>
  </si>
  <si>
    <t>Source X</t>
  </si>
  <si>
    <t>Source X Divider</t>
  </si>
  <si>
    <t>0-84V sine</t>
  </si>
  <si>
    <r>
      <t>Rg (K</t>
    </r>
    <r>
      <rPr>
        <sz val="9"/>
        <color theme="1"/>
        <rFont val="Calibri"/>
        <family val="2"/>
      </rPr>
      <t>Ω</t>
    </r>
    <r>
      <rPr>
        <sz val="9"/>
        <color theme="1"/>
        <rFont val="Calibri Light"/>
        <family val="2"/>
      </rPr>
      <t>)</t>
    </r>
  </si>
  <si>
    <t>IN+ 8:1 Mux</t>
  </si>
  <si>
    <t>1/ratio</t>
  </si>
  <si>
    <t>2.81V_Buf</t>
  </si>
  <si>
    <t>Spst (pF)</t>
  </si>
  <si>
    <t>Total pF</t>
  </si>
  <si>
    <r>
      <t>Rfb (K</t>
    </r>
    <r>
      <rPr>
        <sz val="9"/>
        <color theme="1"/>
        <rFont val="Calibri"/>
        <family val="2"/>
      </rPr>
      <t>Ω</t>
    </r>
    <r>
      <rPr>
        <sz val="9"/>
        <color theme="1"/>
        <rFont val="Calibri Light"/>
        <family val="2"/>
      </rPr>
      <t>)</t>
    </r>
  </si>
  <si>
    <t>Src X</t>
  </si>
  <si>
    <t xml:space="preserve">    Observed On Sim</t>
  </si>
  <si>
    <t>Configuration</t>
  </si>
  <si>
    <t>Inverter</t>
  </si>
  <si>
    <t>Gain Peak Height dB</t>
  </si>
  <si>
    <t>Non-Invert</t>
  </si>
  <si>
    <t>Adg601 ON</t>
  </si>
  <si>
    <t>100Vmeasure - Mux Inbetween Rg-Rfb, v6e.TSC</t>
  </si>
  <si>
    <t>5pin SC-70 package (2.4 x 2.2mm, 0.65mm pitch), same as: SC−88A, SOT−353</t>
  </si>
  <si>
    <t>6pin SC-70 package (2.4 x 2.2mm, 0.65mm pitch), same as: SC−88, SOT−363, 6-TSSOP</t>
  </si>
  <si>
    <t>https://www.diodes.com/assets/Package-Files/SOT563.pdf</t>
  </si>
  <si>
    <t>6pin SOT23 package (3 x 3mm, 0.95mm pitch), same as 6-TSOP (one 'S')</t>
  </si>
  <si>
    <t>SOT−353 (SC-70-5)</t>
  </si>
  <si>
    <t>SOT−363 (SC-70-6)</t>
  </si>
  <si>
    <t xml:space="preserve">DC error </t>
  </si>
  <si>
    <t>Amp Out Minus 3dB (MHz)</t>
  </si>
  <si>
    <t>9.8 (bad)</t>
  </si>
  <si>
    <t>0-400V sine</t>
  </si>
  <si>
    <t>0-12V sine</t>
  </si>
  <si>
    <t>0-3V sine</t>
  </si>
  <si>
    <t>12VDC in and get 80uV error vs expected vout voltage (1/10k)</t>
  </si>
  <si>
    <t>400VDC in and get 25uV error vs expected vout voltage (1/100k)</t>
  </si>
  <si>
    <t>70VDC in and get 270uV error vs expected vout voltage (1/10k)</t>
  </si>
  <si>
    <t>3VDC in and get 5uV error vs expected vout voltage (1/600k).  Also, put in 0VDC and get 5uV error too (gain = 1).</t>
  </si>
  <si>
    <t>2dB at 3MHz</t>
  </si>
  <si>
    <t>Difficult to get more BW w/o going to faster op amp that has more CMRR error. We use this to measure component values (C, L, MOSFET) yet we do that at &lt; 1000Hz to get accuracy (not while dc/dc switching).  Also, we do have another dedicated system for monitoring switching voltage nodes while doing dc/dc conversion.</t>
  </si>
  <si>
    <t>400V measurements are mostly DC. Yet we might see some switching on top of them.</t>
  </si>
  <si>
    <t>This is good for looking at 3VDC to 12VDC sources.</t>
  </si>
  <si>
    <t>This is G=1 pass through amplifier, and works well except for 2dB gain peaking at 3MHz. 8MHz filter at Xmc4x input helps a little yet only a little. Current shunt amplifier drives Xmc4x a/d input directly, so you don't need to worry about this messing up that. Driving 3Vpp 500KHz output sine consumes 2mApp</t>
  </si>
  <si>
    <t>Diode Clamp</t>
  </si>
  <si>
    <t>Signals on SX, DX or INX exceeding V+ or V- will be clamped by internal diodes</t>
  </si>
  <si>
    <t>DG408DY, Vishay</t>
  </si>
  <si>
    <t>Signals on SX, DX, AX, or EN exceeding V+ or V- will be clamped by internal diodes</t>
  </si>
  <si>
    <t>Datasheet does not mention "diode" or "clamp". We do not have simulation spice. Not sure what is happening w/ these. Possibly has diodes 0.5V to/from V+/V-.</t>
  </si>
  <si>
    <t>Datasheet does not mention diodes, yet ADG408 sim shows V-/V+ diodes on Drain (output); yet no diodes to Source (S1..S8)</t>
  </si>
  <si>
    <t>Ref V</t>
  </si>
  <si>
    <t>Min Meas V</t>
  </si>
  <si>
    <t>Max Meas V</t>
  </si>
  <si>
    <t>A/D In @ Min Meas</t>
  </si>
  <si>
    <t>A/D In @ Max Meas</t>
  </si>
  <si>
    <t>Tasks</t>
  </si>
  <si>
    <t>Meas System</t>
  </si>
  <si>
    <t>MCM (Main Current Monitor, 16bit a/d can use this while dc/dc conversion is handled by uProcessor)</t>
  </si>
  <si>
    <t>Monitor Measurement Nodes (not part of dc/dc conversion, occurs in background via 16bit a/d)</t>
  </si>
  <si>
    <t>Real-time Dc/Dc Conversion Measurement Nodes -- processes Dc/Dc conversion cylces one at a time via two uProcessor A/D channels</t>
  </si>
  <si>
    <t>s2fb</t>
  </si>
  <si>
    <t>s3fb</t>
  </si>
  <si>
    <t>2 Stage Amplifier, Single-Ended, ±30mV, 5MHz BW</t>
  </si>
  <si>
    <r>
      <t>R1 (</t>
    </r>
    <r>
      <rPr>
        <sz val="11"/>
        <color theme="1"/>
        <rFont val="Calibri"/>
        <family val="2"/>
      </rPr>
      <t>Ω):</t>
    </r>
  </si>
  <si>
    <t>R1 (Ω):</t>
  </si>
  <si>
    <t>R2 (Ω):</t>
  </si>
  <si>
    <t>16bit A/D Filter</t>
  </si>
  <si>
    <t>Input RFI Filter</t>
  </si>
  <si>
    <t>Amplifier Gain/Feedback Resistors</t>
  </si>
  <si>
    <t>s1 R1</t>
  </si>
  <si>
    <t>s1 R2</t>
  </si>
  <si>
    <t>A1_Out mV</t>
  </si>
  <si>
    <t>A1_Offset mV</t>
  </si>
  <si>
    <t>A1_Vos mV</t>
  </si>
  <si>
    <t>A1 Input mV</t>
  </si>
  <si>
    <t>A2 Input mV</t>
  </si>
  <si>
    <t>A2_Offset mV</t>
  </si>
  <si>
    <t>A2_Vos mV</t>
  </si>
  <si>
    <t>LMV794 Max Vos (mV)</t>
  </si>
  <si>
    <t>Analog Protection</t>
  </si>
  <si>
    <t>3.45V_Clamp Voltage</t>
  </si>
  <si>
    <t>We protect 16bit A/D and Xmc4xxx Ain with 220 ohm series resistor.</t>
  </si>
  <si>
    <t>It is ok to burn some power since over-voltage is rare.</t>
  </si>
  <si>
    <t>Voltages</t>
  </si>
  <si>
    <t>±30mV sine</t>
  </si>
  <si>
    <t>Gain Peaking dB</t>
  </si>
  <si>
    <t>Amp_Out Fc MHz</t>
  </si>
  <si>
    <t>Ch0</t>
  </si>
  <si>
    <t>Ch1</t>
  </si>
  <si>
    <t>nothing</t>
  </si>
  <si>
    <t>±30mV 1MHz square</t>
  </si>
  <si>
    <t xml:space="preserve">      </t>
  </si>
  <si>
    <t>Observed on Simulator</t>
  </si>
  <si>
    <t xml:space="preserve">  "</t>
  </si>
  <si>
    <t>Amp_Out mVpp from Ch1 SqWv</t>
  </si>
  <si>
    <t>Test</t>
  </si>
  <si>
    <t>Bandwidth</t>
  </si>
  <si>
    <t>Crosstalk</t>
  </si>
  <si>
    <t>2 Stage Amplifier, Single-Ended, -2mV to 20mV, 5MHz BW</t>
  </si>
  <si>
    <t xml:space="preserve">     220mVref_Passive Reference Voltage</t>
  </si>
  <si>
    <t xml:space="preserve">             RC Filters</t>
  </si>
  <si>
    <t>max mA</t>
  </si>
  <si>
    <t>max mW</t>
  </si>
  <si>
    <t>max mV</t>
  </si>
  <si>
    <t>Min Input Voltage</t>
  </si>
  <si>
    <t>Max Input Voltage</t>
  </si>
  <si>
    <t>Max Output Voltage (at vin = min)</t>
  </si>
  <si>
    <t>Min Output Voltage (at vin = max)</t>
  </si>
  <si>
    <t>mV output per mV of input (gain).  This is same as # of mV output for each 1Amp being measured assuming shunts are 1mΩ</t>
  </si>
  <si>
    <t xml:space="preserve"> -2 to 20mV sine</t>
  </si>
  <si>
    <t>uProc</t>
  </si>
  <si>
    <t>Inductor Current Monitor (ICM)</t>
  </si>
  <si>
    <t>Measure 14 different current shunt nodes, ±30mV input</t>
  </si>
  <si>
    <t>Inductor Left, 0-85V</t>
  </si>
  <si>
    <t>Inductor Right, 0-85V</t>
  </si>
  <si>
    <t>Vout, 0-85V</t>
  </si>
  <si>
    <t>14 Current Shunt Nodes, ±30mV</t>
  </si>
  <si>
    <t>DcDc Output Current, -2 to 20mV, same as inductor current, triangle with center at output current, Current Shunt 1Ch</t>
  </si>
  <si>
    <t>DetectVoltage, DetectOvervoltage</t>
  </si>
  <si>
    <t>Detect Overvoltage (too much Dc-to-Dc output current)</t>
  </si>
  <si>
    <t>Current Shunt with?? Compensation</t>
  </si>
  <si>
    <t>Master_vCal_Buf</t>
  </si>
  <si>
    <t>Master_vCal_Buf1</t>
  </si>
  <si>
    <t>Mvm_NonInv - (Main Voltage Monitor, NON-Inverter G=1, 16bit a/d can use this while dc/dc conversion is handled by uProcessor)</t>
  </si>
  <si>
    <t>Vmeasure Min (V)</t>
  </si>
  <si>
    <r>
      <t>OpAmp Vout  Vin=Min (</t>
    </r>
    <r>
      <rPr>
        <sz val="9"/>
        <color theme="1"/>
        <rFont val="Calibri"/>
        <family val="2"/>
      </rPr>
      <t>V</t>
    </r>
    <r>
      <rPr>
        <sz val="9"/>
        <color theme="1"/>
        <rFont val="Calibri Light"/>
        <family val="2"/>
      </rPr>
      <t>)</t>
    </r>
  </si>
  <si>
    <r>
      <t>current flow Vin = Max (</t>
    </r>
    <r>
      <rPr>
        <sz val="9"/>
        <color theme="1"/>
        <rFont val="Calibri"/>
        <family val="2"/>
      </rPr>
      <t>µA</t>
    </r>
    <r>
      <rPr>
        <sz val="9"/>
        <color theme="1"/>
        <rFont val="Calibri Light"/>
        <family val="2"/>
      </rPr>
      <t>)</t>
    </r>
  </si>
  <si>
    <r>
      <t>curent flow, Vin = Max (</t>
    </r>
    <r>
      <rPr>
        <sz val="9"/>
        <color theme="1"/>
        <rFont val="Calibri"/>
        <family val="2"/>
      </rPr>
      <t>µA</t>
    </r>
    <r>
      <rPr>
        <sz val="9"/>
        <color theme="1"/>
        <rFont val="Calibri Light"/>
        <family val="2"/>
      </rPr>
      <t>)</t>
    </r>
  </si>
  <si>
    <t>GateLeakage_Lo1</t>
  </si>
  <si>
    <t>GateLeakage_Lo2</t>
  </si>
  <si>
    <t>Communication Betw Array Bases</t>
  </si>
  <si>
    <t>Note that #Opa388 is +-7.5uVos, so 2mV is conversative.</t>
  </si>
  <si>
    <t>Op Amp Vos, max over temp</t>
  </si>
  <si>
    <t>resistor initial accuracy x 50C heating</t>
  </si>
  <si>
    <t>max ratio of two resistors</t>
  </si>
  <si>
    <t>mix ratio of two resistors</t>
  </si>
  <si>
    <t>Op Amp Selection</t>
  </si>
  <si>
    <t>Good:</t>
  </si>
  <si>
    <t xml:space="preserve">Bad: </t>
  </si>
  <si>
    <t>#Opa388, 1Ch, $1.12, 10MHz, 7uVos mx OT, 400pA mx OT, 5V/uS, 124dB min OT, In -.05V to (Vcc+0.1V), Out 300mV to (Vcc-300mV)</t>
  </si>
  <si>
    <t>Summing Amplifier, 0 to 85Vin, 1.1MHz BW Measured on Simulator</t>
  </si>
  <si>
    <t>uA max</t>
  </si>
  <si>
    <t>mW max</t>
  </si>
  <si>
    <r>
      <t>Rfb (</t>
    </r>
    <r>
      <rPr>
        <sz val="9"/>
        <color theme="1"/>
        <rFont val="Calibri"/>
        <family val="2"/>
      </rPr>
      <t>Ω</t>
    </r>
    <r>
      <rPr>
        <sz val="9"/>
        <color theme="1"/>
        <rFont val="Calibri Light"/>
        <family val="2"/>
      </rPr>
      <t>)</t>
    </r>
  </si>
  <si>
    <t>Toshiba says "i/o diode current +-25mA" and OnSemi says "dc current any pin +-25mA". So that looks good.</t>
  </si>
  <si>
    <t>Digital Logic (V)</t>
  </si>
  <si>
    <t>Datasheet says "i/o diode current" is for "Vio &lt; 0V" that that means you have a diode to V- yet not V+. It is not clear if this is Out or Y0..Y7.       Tina simulation shows diodes to V+ AND V- on Output, yet no diodes to Y0..Y7 input.</t>
  </si>
  <si>
    <t>Datasheet does not mention "diode" or "clamp". We do not have simulation spice. Not sure what is happening w/ these. Possibly has diodes 0.5V to/from V+/V-.  Datasheet says "DC Current, Into or Out of Any Pin (Iik)" is +-20mA so this might be a diode to rails.</t>
  </si>
  <si>
    <t>Datasheet does not mention "diode" or "clamp". We do not have simulation spice. Not sure what is happening w/ these. Possibly has diodes 0.5V to/from V+/V-. Datasheet says "DC Current, Into or Out of Any Pin (Iik)" is +-50mA so this might be a diode to rails.</t>
  </si>
  <si>
    <r>
      <t>SN74LV4051</t>
    </r>
    <r>
      <rPr>
        <sz val="11"/>
        <color theme="6"/>
        <rFont val="Calibri"/>
        <family val="2"/>
        <scheme val="minor"/>
      </rPr>
      <t>A</t>
    </r>
    <r>
      <rPr>
        <sz val="11"/>
        <color theme="1"/>
        <rFont val="Calibri"/>
        <family val="2"/>
        <scheme val="minor"/>
      </rPr>
      <t>PWR (no diode to V+, only diode to V-)</t>
    </r>
  </si>
  <si>
    <t>1uA VHC4051, no external diode or spdt (1uA max leakage @ 85C)</t>
  </si>
  <si>
    <t>20nA NLAST spdt &amp; 8:1 mux (10nA max leakage @ 75C)</t>
  </si>
  <si>
    <t>Vin Er from leakage (mV)</t>
  </si>
  <si>
    <t>Vin Er from leakage (ratio)</t>
  </si>
  <si>
    <t>Vin Er from leakage    (%)</t>
  </si>
  <si>
    <t>Gain           (Rfb / Rg)</t>
  </si>
  <si>
    <t>Vin Er frm leakage (mV)</t>
  </si>
  <si>
    <t>2.81Vref_Buf</t>
  </si>
  <si>
    <t>max</t>
  </si>
  <si>
    <t>1_PartNo</t>
  </si>
  <si>
    <t>1_Manu</t>
  </si>
  <si>
    <t>1_Price</t>
  </si>
  <si>
    <t>PcbDesc</t>
  </si>
  <si>
    <t xml:space="preserve">LMV324A, 1MHz, 1uS Rec, 5mVos OT, 5pF, 85nA mx 85°C (ST datasheet), 1.7V/uS, 65dB min OT, In -0.1 to (Vcc-1.4), Out 0.15V to (Vcc-0.15V), $0.12/4ch, Ti "A" version is different from others </t>
  </si>
  <si>
    <t>https://www.digikey.com/product-detail/en/texas-instruments/LMV794MAX-NOPB/296-44291-2-ND/1840736</t>
  </si>
  <si>
    <t>LMV794, 2Ch, $0.85, 88MHz, 1.6mVos mx OT, 25pA max OT, 28V/uS, 75dB min OT, In 0 to (Vcc-1.3), Out 0.3V to (Vcc-0.3V)</t>
  </si>
  <si>
    <t>LMV794MAX-NOPB</t>
  </si>
  <si>
    <t>OPA388IDR</t>
  </si>
  <si>
    <t>OpAmp: OPA388 1ch 10MHz 7uVos 400pA 124dB SO8</t>
  </si>
  <si>
    <t>OpAmp: LMV794 2ch 88MHz 2mVos 25pA 75dB SO8</t>
  </si>
  <si>
    <t>OpAmp: LMV324A 4ch 1MHz 5mVos 85nA 65dB TSSOP14</t>
  </si>
  <si>
    <t>3pin SOT23 package (3 x 3mm, 0.95mm pitch)</t>
  </si>
  <si>
    <t>st</t>
  </si>
  <si>
    <t>Schottky 1x</t>
  </si>
  <si>
    <t>Schottky Array</t>
  </si>
  <si>
    <t>Small Signal 1x</t>
  </si>
  <si>
    <t>Small Signal Array</t>
  </si>
  <si>
    <t>Nexperia</t>
  </si>
  <si>
    <t>TLVH431BIL3T (st.com)</t>
  </si>
  <si>
    <t>Shunt: TLVH431B 1.24V 0.25% SOT23-3</t>
  </si>
  <si>
    <t>TLVH431B, 1.24V shunt, 0.25%, SOT-23-3, $0.08</t>
  </si>
  <si>
    <t>AP2202K-ADJ vReg 2% 150mA &lt;13Vin, 230mV Head, SOT23-3, $0.10</t>
  </si>
  <si>
    <t>https://www.digikey.com/product-detail/en/texas-instruments/LM2664M6X-NOPB/LM2664M6X-NOPBTR-ND/366882</t>
  </si>
  <si>
    <t>LM2664, charge pump (flying cap), Doubler/Inverter, 40mA, $.32, SOT23-6</t>
  </si>
  <si>
    <t>Charge Pump: LM2664M6 Doubler-Inv 40mA SOT23-6</t>
  </si>
  <si>
    <t>LM2664M6X-NOPB</t>
  </si>
  <si>
    <t>Chg Pump</t>
  </si>
  <si>
    <t>TLV9064IPWR, TI ($0.49 for 4ch 9064, $0.33 for 2ch 9062, $0.22 for 1ch 9061)</t>
  </si>
  <si>
    <t>https://www.digikey.com/product-detail/en/on-semiconductor/NLAST4599DFT2G/NLAST4599DFT2GOSTR-ND/920177</t>
  </si>
  <si>
    <t>NLAST4599DFT2G</t>
  </si>
  <si>
    <t>SOT-363</t>
  </si>
  <si>
    <t>https://www.digikey.com/product-detail/en/toshiba-semiconductor-and-storage/74VHC4053AFT/74VHC4053AFTTR-ND/4780918</t>
  </si>
  <si>
    <t>3x SPDT</t>
  </si>
  <si>
    <t>ResTF: ?Ω 75V 0.1% .06W 25ppm 0603 $.04</t>
  </si>
  <si>
    <t>ResTF: ?Ω 75V 0.5% .06W 25ppm 0603 $.01</t>
  </si>
  <si>
    <t>https://www.digikey.com/product-detail/en/susumu/RR0816P-103-D/RR08P10-0KDTR-ND/432209</t>
  </si>
  <si>
    <t>Susumu</t>
  </si>
  <si>
    <t>330K</t>
  </si>
  <si>
    <t>150K</t>
  </si>
  <si>
    <t>33K</t>
  </si>
  <si>
    <r>
      <t>ResTF: ?</t>
    </r>
    <r>
      <rPr>
        <sz val="9"/>
        <color theme="1"/>
        <rFont val="Calibri"/>
        <family val="2"/>
      </rPr>
      <t>Ω</t>
    </r>
    <r>
      <rPr>
        <sz val="9"/>
        <color theme="1"/>
        <rFont val="Calibri Light"/>
        <family val="2"/>
      </rPr>
      <t xml:space="preserve"> 75V 0.05% .06W 10ppm 0603 $.21</t>
    </r>
  </si>
  <si>
    <r>
      <t>ResTF: ?</t>
    </r>
    <r>
      <rPr>
        <sz val="9"/>
        <color theme="1"/>
        <rFont val="Calibri"/>
        <family val="2"/>
      </rPr>
      <t>Ω</t>
    </r>
    <r>
      <rPr>
        <sz val="9"/>
        <color theme="1"/>
        <rFont val="Calibri Light"/>
        <family val="2"/>
      </rPr>
      <t xml:space="preserve"> 75V 0.1% .06W 10ppm 0603 $.14</t>
    </r>
  </si>
  <si>
    <t>10K</t>
  </si>
  <si>
    <t>1K</t>
  </si>
  <si>
    <t>5.62K</t>
  </si>
  <si>
    <t>3.6K</t>
  </si>
  <si>
    <t>2K</t>
  </si>
  <si>
    <t>11K</t>
  </si>
  <si>
    <t>1.74K</t>
  </si>
  <si>
    <t>chip R or C .06 x .03" (1.5mm x 0.75mm)</t>
  </si>
  <si>
    <t>chip R or C .08 x .05" (2mm x 1.2mm)</t>
  </si>
  <si>
    <t>chip R or C .12 x .06" (3mm x 1.5mm)</t>
  </si>
  <si>
    <t>chip R or C, .12 x .10" (3mm x 2.5mm)</t>
  </si>
  <si>
    <t>chip R or C .04" x .02" (1mm x 0.5mm)</t>
  </si>
  <si>
    <t>chip R or C .25 x .12" (6mm x 3mm)</t>
  </si>
  <si>
    <t>CL21B106KOQNNNF  (10%) or  CL31B106MOHNNNE (20%)</t>
  </si>
  <si>
    <t>Capacitor</t>
  </si>
  <si>
    <t>ResTF: ?Ω 150V 1% .25W 25ppm 1206 $.017</t>
  </si>
  <si>
    <t xml:space="preserve"> -55..155°C</t>
  </si>
  <si>
    <t>Temp °C</t>
  </si>
  <si>
    <t>Res: ?Ω 75V 1% .06W 100ppm 0603 $.002</t>
  </si>
  <si>
    <t>Res: ?Ω 150V 1% .12W 100ppm 0805 $.003</t>
  </si>
  <si>
    <t>https://www.digikey.com/product-detail/en/stackpole-electronics-inc/RMCF1206FG10K0/RMCF1206FG10K0-ND/1759692</t>
  </si>
  <si>
    <t>https://www.digikey.com/product-detail/en/stackpole-electronics-inc/RMCF0805FG10K0/RMCF0805FG10K0-ND/1712623</t>
  </si>
  <si>
    <t>RMCF0805FG10K0 (10k reel)</t>
  </si>
  <si>
    <t>RMCF1206FG10K0 (10k reel)</t>
  </si>
  <si>
    <t>https://www.digikey.com/product-detail/en/stackpole-electronics-inc/RMCF0603FT10K0/RMCF0603FT10K0TR-ND/1761235</t>
  </si>
  <si>
    <t>Res: ?Ω 200V 1% .25W 100ppm 1206 $.0035</t>
  </si>
  <si>
    <t>Stackpole</t>
  </si>
  <si>
    <t>Film</t>
  </si>
  <si>
    <t>Thin</t>
  </si>
  <si>
    <t>Thick</t>
  </si>
  <si>
    <t>1206 (0.12" x 0.06")</t>
  </si>
  <si>
    <t>4Rnet 1%, 50V, $0.01, 60mW/R, 3 x 1.6mm</t>
  </si>
  <si>
    <t>Network</t>
  </si>
  <si>
    <t># of C's</t>
  </si>
  <si>
    <t>4.7K</t>
  </si>
  <si>
    <t>0804 convex, 0.08" x 0.04" (2 x 1mm)</t>
  </si>
  <si>
    <t>https://www.digikey.com/product-detail/en/stackpole-electronics-inc/RAVF104DJT4K70/RAVF104DJT4K70TR-ND/1744066</t>
  </si>
  <si>
    <t>RAVF104DJT4K70</t>
  </si>
  <si>
    <t>https://www.digikey.com/product-detail/en/samsung-electro-mechanics/CL10B103KB8SFNC/1276-1924-2-ND/3887582</t>
  </si>
  <si>
    <t>CL10B103KB8SFNC</t>
  </si>
  <si>
    <t>Chip Capacitor, 100V, &lt; 1uF, -55 to 125C, 0603 or 0805</t>
  </si>
  <si>
    <t>Chip Capacitor, 50V, &lt; 1uF, -55 to 125C, 0603 or 0805</t>
  </si>
  <si>
    <t>https://www.digikey.com/product-detail/en/samsung-electro-mechanics/CL10C030BB8NNNC/1276-2125-2-ND/3887783</t>
  </si>
  <si>
    <t>https://www.digikey.com/product-detail/en/samsung-electro-mechanics/CL10B104KA8NNNC/1276-1006-2-ND/3886664</t>
  </si>
  <si>
    <t>100k</t>
  </si>
  <si>
    <t xml:space="preserve">CL10B103KB8SFNC (Samsung 5K reel),  </t>
  </si>
  <si>
    <t>CL10B104KA8NNNC (Samsung 10% 4k reel)</t>
  </si>
  <si>
    <t>CL10B105MO8NNWC (Samsung 20% 4k reel)</t>
  </si>
  <si>
    <t>https://www.digikey.com/product-detail/en/cts-resistor-products/73L2R33J/73L2R33J-ND/7311024</t>
  </si>
  <si>
    <t>cts</t>
  </si>
  <si>
    <t>SRN1060-221M, 220uH, 1A, 460mOhm, 10x10x6H mm, $0.25 arrow</t>
  </si>
  <si>
    <t>Samsung</t>
  </si>
  <si>
    <t>taiyo-yuden</t>
  </si>
  <si>
    <t>Amplifiers</t>
  </si>
  <si>
    <t>Amplifier-Mux_-30_to_30mV_SE_5MHz_LMV794_v1h.TSC</t>
  </si>
  <si>
    <t>Amplifier_400V_SE_1MHz_Mux_Between_Rg-Rfb_v6e.TSC</t>
  </si>
  <si>
    <t>all parts placed into below table</t>
  </si>
  <si>
    <t>vCalibration_Circuit_v2a.TSC</t>
  </si>
  <si>
    <t>3.3Vref_OpAmpBuffer_v4c.TSC</t>
  </si>
  <si>
    <t>3.45V_Clamp_Via_Shunt_v1b.TSC</t>
  </si>
  <si>
    <t>3.3Vpwr_to_-1Vpwr_Conversion_v1f_QuickSim_SIMPLE_CAPS.TSC</t>
  </si>
  <si>
    <t>Components in Version #1 300W DC-to-DC Converter</t>
  </si>
  <si>
    <t>MOSFET Gate Leakage Current Measurement (to predict when MOSFET will fail)</t>
  </si>
  <si>
    <t>DESIGN: Measure High Voltage via Inverting Op-Amp (e.g. gain = 1/30)</t>
  </si>
  <si>
    <t>Amplifier_-2_to_20mV_SE_5MHz_LMV794_v2b.TSC</t>
  </si>
  <si>
    <t>Power Conversion</t>
  </si>
  <si>
    <t>10V Gate Pwr (W), Observed on Sim</t>
  </si>
  <si>
    <t>https://www.digikey.com/product-detail/en/bourns-inc/SRP1038C-8R2M/SRP1038C-8R2MTR-ND/10249095</t>
  </si>
  <si>
    <t>11 x 10mm, 4mm hi</t>
  </si>
  <si>
    <t>SRP1038C-8R2M</t>
  </si>
  <si>
    <t>Parts cost is $1.39 (IC) + $0.25 (220uH inductor, 1Amps, 240mΩ) + $0.34 etc = $2</t>
  </si>
  <si>
    <t>https://www.digikey.com/product-detail/en/signal-transformer/SCRH125-471/SCRH125-471-ND/2778969</t>
  </si>
  <si>
    <t>SCRH125-471</t>
  </si>
  <si>
    <t>$0.26 arrow</t>
  </si>
  <si>
    <t xml:space="preserve"> 12.5 x 12.5 x 6mm H</t>
  </si>
  <si>
    <r>
      <t>SCRH125-471, 470uH, 0.6A, 770m</t>
    </r>
    <r>
      <rPr>
        <sz val="9"/>
        <color theme="1"/>
        <rFont val="Calibri"/>
        <family val="2"/>
      </rPr>
      <t>Ω</t>
    </r>
    <r>
      <rPr>
        <sz val="9"/>
        <color theme="1"/>
        <rFont val="Calibri Light"/>
        <family val="2"/>
      </rPr>
      <t>, 12x12x6H mm, $0.26 arrow</t>
    </r>
  </si>
  <si>
    <t>24..84Vin-to-10Vout_2W_200mA_LM5163_WebBenchReport.pdf</t>
  </si>
  <si>
    <t>24..84Vin-to-10Vout_2W_200mA_LM5163_QuickstartCalculator.xlsm</t>
  </si>
  <si>
    <t>GWeinreb_Manhattan2_ResearchNotes.xls / SolarRoof / "DESIGN: 24..84Vin to 10VDC 2W 2A DC-to-DC Converter, Non-Isolated, Regulated"</t>
  </si>
  <si>
    <t>24..84Vin-to-10Vout_2W_200mA_LM5163_Tina_v...TSC</t>
  </si>
  <si>
    <t>Simple non-isolated buck converter, based on</t>
  </si>
  <si>
    <t>LM5163</t>
  </si>
  <si>
    <t>TI parts:</t>
  </si>
  <si>
    <t>Microchip parts:</t>
  </si>
  <si>
    <t>LM5116 (2007, $2.55, ext mosfet), LM5088 (2008, $1.65 ext fet), LM5575 (2007, internal fet, 75Vin, 1.5A, $2.30), LM5576 (2007, internal fet, 75Vin, 3A, $2.90), LM5005 (2005, internal fet, 75Vin, 1.5A, $2.00), LM5163 ($1.22, &lt;100Vin, &lt;0.5A out, 2019 ***NEW***),  LM5008 (&lt; 95Vin, &lt; 350mA out, 2004)</t>
  </si>
  <si>
    <t>2019 Design, $1.37, internal fet/diode, no transformer, &lt; 100V in, &lt; 0.5A out</t>
  </si>
  <si>
    <t>DESIGN: 24..84V in to 10V/2A/2W out  DC-to-DC Converter, Non-Isolated, Regulated</t>
  </si>
  <si>
    <t>100K</t>
  </si>
  <si>
    <t>Rin (Ω)</t>
  </si>
  <si>
    <t>Pwr In (W)</t>
  </si>
  <si>
    <t>Rin Burn mW</t>
  </si>
  <si>
    <t>2.2Ω + 2.2Ω + 2.2Ω = 6.6Ω</t>
  </si>
  <si>
    <t>RFI Filter</t>
  </si>
  <si>
    <t>https://www.digikey.com/product-detail/en/taiyo-yuden/NRS4012T330MDGJ/NRS4012T330MDGJ-ND/7404165</t>
  </si>
  <si>
    <t>NRS4012T330MDGJ</t>
  </si>
  <si>
    <t>4 x 4 x 1.2mm H</t>
  </si>
  <si>
    <r>
      <t>NRS4012T330M, 33uH, 0.4A, 720m</t>
    </r>
    <r>
      <rPr>
        <sz val="9"/>
        <color theme="1"/>
        <rFont val="Calibri"/>
        <family val="2"/>
      </rPr>
      <t>Ω</t>
    </r>
    <r>
      <rPr>
        <sz val="9"/>
        <color theme="1"/>
        <rFont val="Calibri Light"/>
        <family val="2"/>
      </rPr>
      <t>, 4x4x1H mm, $0.10</t>
    </r>
  </si>
  <si>
    <t>Inductor, 220 to 470uH, 1A</t>
  </si>
  <si>
    <t>Inductor, 7 to 100uH, 0.4 to 1A</t>
  </si>
  <si>
    <t>RMCF0603FG10K0 (10k reel), RMCF0603FT10K0 (5k reel)</t>
  </si>
  <si>
    <t>1MEG</t>
  </si>
  <si>
    <t>https://www.digikey.com/product-detail/en/kemet/C0603C222K1RACTU/399-7880-2-ND/2200255</t>
  </si>
  <si>
    <t>C0603C222K1RACTU (4k reel, 10%, Kemet),      CC0603KRX7R0BB222 (4k reel, 10%, Yageo)</t>
  </si>
  <si>
    <t>0.1 to 10uF, 20%</t>
  </si>
  <si>
    <t>Kemet</t>
  </si>
  <si>
    <t>SCRH125-471 ($.26 arrow)</t>
  </si>
  <si>
    <t>Signal Transformer</t>
  </si>
  <si>
    <t>https://www.digikey.com/product-detail/en/kemet/C0603C470J1GACTU/399-7917-2-ND/2200767</t>
  </si>
  <si>
    <t>C0603C470J1GACTU (4k reel, 5%, npo, kemet, $0.01 * 4K = $40)</t>
  </si>
  <si>
    <t>C0603C101J1GACTU (4k reel, 5%, npo, kemet, $0.01 * 4K = $40)</t>
  </si>
  <si>
    <t>https://www.digikey.com/product-detail/en/kemet/C0603C101J1GACTU/399-7821-2-ND/1533979</t>
  </si>
  <si>
    <t>&lt;1nF, 100V, 5% npo</t>
  </si>
  <si>
    <t>&lt;1nF, 50V, 5% npo</t>
  </si>
  <si>
    <t>&lt;1uF, 50V, 10% x7r</t>
  </si>
  <si>
    <t>732K</t>
  </si>
  <si>
    <t>Circuit Theory, 300W DC-to-DC Converter</t>
  </si>
  <si>
    <t>IC Packages &amp; Footprints</t>
  </si>
  <si>
    <t>Circuit Simulation Files, 300W DC-to-DC Converter</t>
  </si>
  <si>
    <t>NOT USED -- Components in Version #0 (Preliminary) 300W DC-to-DC Converter</t>
  </si>
  <si>
    <t>NOT USED -- List of Primary Components in Version #0 (Preliminary) 300W DC-to-DC Converter</t>
  </si>
  <si>
    <t>NOT USED --Cost Summary, Version #0 (Preliminary) 300W DC-to-DC Converter</t>
  </si>
  <si>
    <t>DESIGN: 5V in to 12V/3mA/36mW typical out (20mA/360mW max), DC-to-DC Converter, Isolated -- powers ideal diode circuit at last element of string</t>
  </si>
  <si>
    <t>DESIGN: 5V in to 3.3V/130mA/500mW typical out (1W max), DC-to-DC Converter, Isolated -- powers microprocessor (and analog 2.9Vpwr)</t>
  </si>
  <si>
    <t>DESIGN: 3.3Vref and Op Amp Buffers that drive Dynamic Loads (i.e. create "3.3Vref_Buf")</t>
  </si>
  <si>
    <t>"Detect_3V_Any_Voltage_Comparator_v4a.TSC"</t>
  </si>
  <si>
    <t>"Detect_88V_Overvoltage_Comparator_v3b.TSC"</t>
  </si>
  <si>
    <t>DESIGN: 36..56V in to 5V/2A/10W out DC-to-DC Converter, Non-Isolated, Regulated -- Provides  "5V-String-Pwr" to each entire string</t>
  </si>
  <si>
    <t>48Vin-to-5Vout_10W_2A_LM76003....TSC</t>
  </si>
  <si>
    <t>48Vin-to-5Vout_10W_2A_LM76003_NOTES.docx</t>
  </si>
  <si>
    <t>48Vin-to-5Vout_10W_2A_LM76003_SIMULATION_RESULTS_&amp;_DESIGN_NOTES.xlsx</t>
  </si>
  <si>
    <t>1st Choice:</t>
  </si>
  <si>
    <t>2nd Choice:</t>
  </si>
  <si>
    <t>MIC28514 (2017, $1.68, internal fet, 5A output)</t>
  </si>
  <si>
    <t>LM76003 (2017 ic, $2.92, internal mosfet)</t>
  </si>
  <si>
    <t>MIC28514 (2017, $1.68, internal mosfet, 5A output)</t>
  </si>
  <si>
    <r>
      <t xml:space="preserve"> &gt; to get better efficiency, we reduce clock rate from 300KHz to 166KHz via 150KΩ R</t>
    </r>
    <r>
      <rPr>
        <vertAlign val="subscript"/>
        <sz val="11"/>
        <color theme="5"/>
        <rFont val="Calibri"/>
        <family val="2"/>
        <scheme val="minor"/>
      </rPr>
      <t>RON</t>
    </r>
  </si>
  <si>
    <t>(47pF is close enough)</t>
  </si>
  <si>
    <t>3.5V to 60Vin, 3.5A out Synchronous Step-Down Voltage Converter</t>
  </si>
  <si>
    <t>48V Input Cable: 18gauge, 5uH/ft, 7mΩ/ft, 100ft (500uH / 700mΩ for 100ft)</t>
  </si>
  <si>
    <t>We do not have spice for this, and therefore focus on parts w/ spice (e.g. ti parts)</t>
  </si>
  <si>
    <t>https://www.digikey.com/product-detail/en/taiyo-yuden/NR6028T150M/587-2630-2-ND/2349959</t>
  </si>
  <si>
    <t>NR6028T150M</t>
  </si>
  <si>
    <t>https://www.digikey.com/product-detail/en/cts-resistor-products/73L3R10J/73L3R10JTR-ND/1543462</t>
  </si>
  <si>
    <t>73L2R22J (cts 5% 10k reel 300ppm/C 0603),    ERJ-3RQJR22V (panasonic 5% 5k reel)</t>
  </si>
  <si>
    <t>73L2R33J (cts 5% 10k reel 300ppm/C 0603),    ERJ-3RQJR33V (panasonic 5% 5k reel)</t>
  </si>
  <si>
    <t>73L3R10J (cts 5% 5k reel 200ppm/C 0805 .125W),    ERJ-3RQJR22V (panasonic 5% 5k reel)</t>
  </si>
  <si>
    <t>CSRL3-0R001F8 (Riedon 2k reel 75ppm/C 3W 2512)</t>
  </si>
  <si>
    <t>https://www.digikey.com/product-detail/en/panasonic-electronic-components/ERJ-6LWJR005V/P19191TR-ND/6004274</t>
  </si>
  <si>
    <t>panasonic</t>
  </si>
  <si>
    <t>Res: 220mΩ 5% .06W 300ppm 0603 $0.01</t>
  </si>
  <si>
    <t>Res: 330mΩ 5% .06W 300ppm 0603 $0.01</t>
  </si>
  <si>
    <t>Res: 1mΩ 5% 3W 75ppm 2512 $0.12</t>
  </si>
  <si>
    <t>ERJ-6LWJR005V (5% 5k reel 300ppm/C 0805 .5W)</t>
  </si>
  <si>
    <t>calc operating point</t>
  </si>
  <si>
    <t>10m to 10.1m</t>
  </si>
  <si>
    <t>2:02 0%, 2:03 11%, 2:08 21%, 2:15 30%</t>
  </si>
  <si>
    <t>Amps Load</t>
  </si>
  <si>
    <t>Ohms Load</t>
  </si>
  <si>
    <t xml:space="preserve">For more simulation results, see file "48Vin-to-5Vout_10W_2A_LM76003_SIMULATION_RESULTS_&amp;_DESIGN_NOTES.xlsx" </t>
  </si>
  <si>
    <t>Sim Results</t>
  </si>
  <si>
    <t>Zsource = 700/500</t>
  </si>
  <si>
    <t>TLV70036 vReg, 3.6Vout, 2%, 200mA, &lt;5.5Vin, 46mV Head, SOT23-5, $0.10</t>
  </si>
  <si>
    <t>Lm76003</t>
  </si>
  <si>
    <t>LM76003RNPR</t>
  </si>
  <si>
    <t>https://www.digikey.com/product-detail/en/texas-instruments/LM76003RNPR/296-49740-2-ND/8105944</t>
  </si>
  <si>
    <t>2017 Design, $2.92, internal fet/diode, no transformer, &lt; 60V in, &lt; 3.5A out, 30WQFN</t>
  </si>
  <si>
    <t>Switch Reg</t>
  </si>
  <si>
    <t>Linear vReg</t>
  </si>
  <si>
    <t>https://www.digikey.com/product-detail/en/kemet/C1206C474K1REC7800/C1206C474K1REC7800-ND/8644226</t>
  </si>
  <si>
    <t>Cap: 1uF, 25V, 10%, 0603, 125C, $0.005</t>
  </si>
  <si>
    <t>Cap: 2.2nF, 50V, 10%, 0603, 125C, $0.002</t>
  </si>
  <si>
    <t>Cap: 0.01uF, 50V, 10%, 0603, 125C, $0.003</t>
  </si>
  <si>
    <t>Cap: 0.1uF, 50V, 10%, 0603, 125C, $0.004</t>
  </si>
  <si>
    <t>Cap: 0.47uF, 50V, 10%, 0805, 125C, $0.015</t>
  </si>
  <si>
    <t>Cap: 2.2nF, 100V, 10%, 125C, 0603</t>
  </si>
  <si>
    <t>Cap: 0.47uF, 100V, 10%, 1206, 125C, $0.04</t>
  </si>
  <si>
    <t>Cap: 10uF, 10V, 20%, 0805, 125C, $0.026</t>
  </si>
  <si>
    <t>Cap: 10uF, 16V, 20%, 0805, 125C, $0.035</t>
  </si>
  <si>
    <t>Cap: 10uF, 25V, 20%, 1206, 125C, $0.044</t>
  </si>
  <si>
    <t>Cap: 2.2uF, 50V, 20%, 1206, 125C, $0.04</t>
  </si>
  <si>
    <t>Cap: 1uF, 16V, 20%, 0603, 125C, $0.007</t>
  </si>
  <si>
    <t>Cap: 2.2uF, 100V, 20%, 1210, 125C, $0.08</t>
  </si>
  <si>
    <t>Cap: 0.1uF, 250V, 20%, 1206, 125C, $0.04</t>
  </si>
  <si>
    <t>Cap: 0.01uF 50V 10% 125C 0603</t>
  </si>
  <si>
    <t>Cap: 0.1uF 25V 20% 125C 0603</t>
  </si>
  <si>
    <t>Cap: 1uF 16V 20% 125C 0603</t>
  </si>
  <si>
    <t>Cap: 2.2uF 50V 20% 125C 1206</t>
  </si>
  <si>
    <t>Cap: 2.2uF 100V 20% 125C 1210</t>
  </si>
  <si>
    <t>Cap: 10uF 10V 20% 125C 0805</t>
  </si>
  <si>
    <t>Cap: 10uF 16V 20% 125C 0805</t>
  </si>
  <si>
    <t>Cap: 10uF 25V 20% 125C 1206</t>
  </si>
  <si>
    <t>Cap: 3pF 50V 5% npo 125C 0603</t>
  </si>
  <si>
    <t>Cap: 47pF 100V 5% npo 125C 0603</t>
  </si>
  <si>
    <t>Cap: 100pF 100V 5% npo 125C 0603</t>
  </si>
  <si>
    <t>C1206C474K1REC7800 (2K reel Kemet, 10%),    C3216X7R2A474K160AA (2k reel, tdk, 10%)</t>
  </si>
  <si>
    <t>bourns</t>
  </si>
  <si>
    <t>SRU1048-100Y, 10uH, 4A, 18mΩ, 10x10x5mm, $.45</t>
  </si>
  <si>
    <t>NRS4018T330M, 33uH, .5A, 550mΩ, 4x4x2mm, $.10</t>
  </si>
  <si>
    <t>NRS4018T101M, 100uH, .3A, 1.74Ω, 4x4x2mm, $.10</t>
  </si>
  <si>
    <t>NR6028T330M, 33uH, 1.1A, 0.28Ω, 6x6x3mm, $.14</t>
  </si>
  <si>
    <t>NR6028T150M, 15uH, 1.6A, 0.12Ω, 6x6x3mm, $.14</t>
  </si>
  <si>
    <t>MPCH1055L1R3, 1.3uH, 2.3mΩ, 18A, 12x10x5.5mm, $.34</t>
  </si>
  <si>
    <t>CIG22L3R3MNE, 3.3uH, 1.2A, 100mOhm, 1008 (2.5 x 2mm), $.05</t>
  </si>
  <si>
    <t>CIG22L2R2MNE, 2.2uH, 1.3A, 80mOhm, 1008 (2.5 x 2mm), $.06</t>
  </si>
  <si>
    <t>24K</t>
  </si>
  <si>
    <t>Cap: 0.01uF 50V 10% 125C 0603 $0.005</t>
  </si>
  <si>
    <t>48Vin-to-5Vout_10W_2A_LM76003_v...TSC</t>
  </si>
  <si>
    <t>Communication</t>
  </si>
  <si>
    <t>16bit A/D</t>
  </si>
  <si>
    <t xml:space="preserve">Building-integrated photovoltaics (BiPV)   and   Building-applied photovoltaics (BAPV) </t>
  </si>
  <si>
    <r>
      <t xml:space="preserve">Wire </t>
    </r>
    <r>
      <rPr>
        <sz val="9"/>
        <color theme="1"/>
        <rFont val="Calibri"/>
        <family val="2"/>
      </rPr>
      <t>µ</t>
    </r>
    <r>
      <rPr>
        <sz val="9"/>
        <color theme="1"/>
        <rFont val="Calibri Light"/>
        <family val="2"/>
      </rPr>
      <t>H/ft</t>
    </r>
  </si>
  <si>
    <t>Total µH</t>
  </si>
  <si>
    <r>
      <rPr>
        <sz val="9"/>
        <color theme="1"/>
        <rFont val="Calibri"/>
        <family val="2"/>
      </rPr>
      <t>°</t>
    </r>
    <r>
      <rPr>
        <sz val="9"/>
        <color theme="1"/>
        <rFont val="Calibri Light"/>
        <family val="2"/>
      </rPr>
      <t xml:space="preserve">C temp rise </t>
    </r>
  </si>
  <si>
    <r>
      <rPr>
        <sz val="9"/>
        <color theme="1"/>
        <rFont val="Calibri"/>
        <family val="2"/>
      </rPr>
      <t>µ</t>
    </r>
    <r>
      <rPr>
        <sz val="9"/>
        <color theme="1"/>
        <rFont val="Calibri Light"/>
        <family val="2"/>
      </rPr>
      <t>P Vpwr Volts</t>
    </r>
  </si>
  <si>
    <t>µP mW</t>
  </si>
  <si>
    <t>Xmc41xx µProcessor</t>
  </si>
  <si>
    <t>µP-side pwr mA</t>
  </si>
  <si>
    <t>µP mA</t>
  </si>
  <si>
    <t>Total Power µP-side mA</t>
  </si>
  <si>
    <t>µP Pwr Needs mW</t>
  </si>
  <si>
    <t>HiPwrOn (similar to "System Master Reset") - Optically isolated signal (Array-HiPwrOn bussed to all String_Base elements, StringN-HiPwrOn bussed to all elements in a string)</t>
  </si>
  <si>
    <t>Communication Between Adjacent Elements -- Used during configuration to identify all 300W elements and get assign them a CANbus ID</t>
  </si>
  <si>
    <t>Power and Voltage Range Strategy, one 300W converter pcb (our design)</t>
  </si>
  <si>
    <t>2.2K</t>
  </si>
  <si>
    <t>3.9K</t>
  </si>
  <si>
    <t>OnSemi</t>
  </si>
  <si>
    <t>https://www.digikey.com/product-detail/en/on-semiconductor/SZBZX84C3V6LT3G/SZBZX84C3V6LT3GOSTR-ND/3063098</t>
  </si>
  <si>
    <t>Transistor</t>
  </si>
  <si>
    <t>NPN Array</t>
  </si>
  <si>
    <t>BC847BS, 2x NPN, SOT363, 50V, hFE=200, $0.04</t>
  </si>
  <si>
    <t>MMBTA92, PNP, SOT23, 300V, 300mA, hFE=100, $0.03</t>
  </si>
  <si>
    <t>MMBT5551LT3G, NPN, SOT23, 160V, hFE=80, $0.03</t>
  </si>
  <si>
    <t>diodes inc</t>
  </si>
  <si>
    <t>https://www.digikey.com/product-detail/en/everlight-electronics-co-ltd/ELD217-TA/ELD217-TA-ND/2693517</t>
  </si>
  <si>
    <t>everlight</t>
  </si>
  <si>
    <t>ELD217-TA (6k reel, everlight)</t>
  </si>
  <si>
    <t>ELD217 Opto Cplr, 2ch NPN, 3KV, 0.5mA input with 0.4mA output (100% @ 1mA), SO-8, $0.21</t>
  </si>
  <si>
    <t>Comm_Between_Array_Base_Elements, v2.TSC</t>
  </si>
  <si>
    <t>220k</t>
  </si>
  <si>
    <t>Array, 1 Diode Pair (Cath to Anode in Series), Schottky, SOT-23 (Anode to Cath. Good for protection to rails)</t>
  </si>
  <si>
    <t>Array, 1 Diode Pair (Cath to Anode in Series), Small Signal, SOT-23-3 (2.4 x 3mm)</t>
  </si>
  <si>
    <t>https://www.digikey.com/product-detail/en/nexperia-usa-inc/BAV99-235/1727-4311-2-ND/1232158</t>
  </si>
  <si>
    <t>SOT23 (2x diodes, 2.4 x 3mm)</t>
  </si>
  <si>
    <t>1mA: 715mVf max @ 25C,      10mA: 855mVf max @ 25C,      50mA: 1Vf max @ 25C</t>
  </si>
  <si>
    <t>BAT54TW, 3x Schottky Array, $0.07, SOT-363, 30V, 10pF, 5nS, 2uA max 25V/25C, 35uA typ 10V/85°C, 0.4Vf max 10mA/25°C,  0.2Vf typ 1mA/85°C</t>
  </si>
  <si>
    <t>BAT54S, 2x Series Array, Schottky, $0.02, SOT23-3, 30V, 10pF, 5nS, 2uA max 25V/25C, 35uA typ 10V/85°C, 0.4Vf max 10mA/25°C,  0.15Vf typ 1mA/85°C</t>
  </si>
  <si>
    <t>BAV99, 2x Series Array, $0.013, SOT23-3, 100V, 1.5pF, 4nS, 30nA max 25V/25°C, 500nA max 80Vr/25°C, 30uA max 25Vr/150°C, 0.7Vf max 1mA/25°C, 1Vf max 50mA/25°C</t>
  </si>
  <si>
    <t>analog devices</t>
  </si>
  <si>
    <t>500nA max @ 80V/25C,   30nA max @ 25V/25C,    30µA max @ 25V/150C,    50µA max @ 80V/150C</t>
  </si>
  <si>
    <t>https://www.digikey.com/product-detail/en/analog-devices-inc/ADM3050EBRIZ-RL/505-ADM3050EBRIZ-RLTR-ND/10659626</t>
  </si>
  <si>
    <t>CANbus Trancvr: Isolated, 1500V, 1.7V to 5.5V uP pwr, 5V CANbus pwr, 12MHz, Ri-8 package (similar to SO-8 yet 10mm wide), #ADM3050EBRIZ-RL</t>
  </si>
  <si>
    <t>Search this file for "Modules, Isolated, Non-Regulated"   and    "Existing Module Options"</t>
  </si>
  <si>
    <t>recom power</t>
  </si>
  <si>
    <t>DcToDc: 5V-to-5V, 1W 200mA 2kV Isolated Unreg 12x10x7mm SMD8 $2.31</t>
  </si>
  <si>
    <t>See datasheet: ADM3050E</t>
  </si>
  <si>
    <t>ByPass_Mosfet_v2g.TSC</t>
  </si>
  <si>
    <t>Power Monitoring</t>
  </si>
  <si>
    <t>Detect_3V_Any_Voltage_Comparator_v4a.TSC</t>
  </si>
  <si>
    <t>Detect_88V_Overvoltage_Comparator_v3b.TSC</t>
  </si>
  <si>
    <t>https://www.digikey.com/product-detail/en/viking-tech/AR06DTC1004/2577-AR06DTC1004TR-ND/12141772</t>
  </si>
  <si>
    <t>AR06DTC??</t>
  </si>
  <si>
    <t>viking</t>
  </si>
  <si>
    <t>ResTF: ?Ω 150V 0.5% .12W 25ppm 1206 $.013</t>
  </si>
  <si>
    <t>1% 150V .1W 100ppm 0805</t>
  </si>
  <si>
    <t>1% 75V .06W 100ppm 0603</t>
  </si>
  <si>
    <t>0.5% 75V .06W 25ppm 0603</t>
  </si>
  <si>
    <t>LMV339IPT</t>
  </si>
  <si>
    <t>Analog Switch</t>
  </si>
  <si>
    <t>LMV339, 4x, OC out, 9mVos, 400nA OT, -0.1 to Vcc-1, 0.4uSec/100mV, 5Vcc, $0.14/4ch, 87uA/ch, Arrow ST #LMV339IPT Tssop14 is $0.14</t>
  </si>
  <si>
    <t>yageo</t>
  </si>
  <si>
    <t>https://www.digikey.com/product-detail/en/yageo/RC1206FR-071M5L/311-1-50MFRTR-ND/728442</t>
  </si>
  <si>
    <t>RC1206FR-071M5L</t>
  </si>
  <si>
    <t>1.5MΩ</t>
  </si>
  <si>
    <t>220mΩ</t>
  </si>
  <si>
    <t>330mΩ</t>
  </si>
  <si>
    <t>1mΩ</t>
  </si>
  <si>
    <t>Rg_Sense (Ω)</t>
  </si>
  <si>
    <t>Rg_Sense Description</t>
  </si>
  <si>
    <t>Rfb Description</t>
  </si>
  <si>
    <t>AR06DTC1004</t>
  </si>
  <si>
    <t>Riedon</t>
  </si>
  <si>
    <t>1% 150V .12W 100ppm 1206, &gt; 1.1MΩ</t>
  </si>
  <si>
    <t>4 x Res: 1.5MΩ 200V 1% .25W 100ppm 1206 $0.008 (normally 1206 is 200V/.25W yet &gt; 1MΩ is 150V/.12W)</t>
  </si>
  <si>
    <r>
      <t xml:space="preserve">1% 200V .25W 100ppm 1206, </t>
    </r>
    <r>
      <rPr>
        <sz val="11"/>
        <color theme="6"/>
        <rFont val="Calibri"/>
        <family val="2"/>
      </rPr>
      <t>≤</t>
    </r>
    <r>
      <rPr>
        <sz val="11"/>
        <color theme="6"/>
        <rFont val="Calibri"/>
        <family val="2"/>
        <scheme val="minor"/>
      </rPr>
      <t xml:space="preserve"> 1MΩ</t>
    </r>
  </si>
  <si>
    <t>100mΩ</t>
  </si>
  <si>
    <t>5mΩ</t>
  </si>
  <si>
    <t>Res: 5mΩ 5% .12W 300ppm 0805 $0.05</t>
  </si>
  <si>
    <t>Res: 100mΩ 5% .12W 300ppm 0805 $0.02</t>
  </si>
  <si>
    <t>https://www.digikey.com/product-detail/en/stackpole-electronics-inc/RMCF1206ZG0R00/RMCF1206ZG0R00TR-ND/1756903</t>
  </si>
  <si>
    <t>0 Ω</t>
  </si>
  <si>
    <t>Film &lt; 1Ω</t>
  </si>
  <si>
    <r>
      <t xml:space="preserve">Film </t>
    </r>
    <r>
      <rPr>
        <b/>
        <sz val="11"/>
        <color theme="6"/>
        <rFont val="Calibri"/>
        <family val="2"/>
      </rPr>
      <t xml:space="preserve">≥ </t>
    </r>
    <r>
      <rPr>
        <b/>
        <sz val="11"/>
        <color theme="6"/>
        <rFont val="Calibri"/>
        <family val="2"/>
        <scheme val="minor"/>
      </rPr>
      <t>1Ω</t>
    </r>
  </si>
  <si>
    <t>1.5 Ω</t>
  </si>
  <si>
    <t>RMCF1206FG1R50 (10k reel stackpole, 200ppm),        RMCF1206FT1R50 (5k reel stackpole, 200ppm)</t>
  </si>
  <si>
    <r>
      <t>SOD123W, 3.7 x 1.</t>
    </r>
    <r>
      <rPr>
        <sz val="9"/>
        <color theme="9"/>
        <rFont val="Calibri Light"/>
        <family val="2"/>
      </rPr>
      <t>9</t>
    </r>
    <r>
      <rPr>
        <sz val="9"/>
        <color theme="1"/>
        <rFont val="Calibri Light"/>
        <family val="2"/>
      </rPr>
      <t>mm</t>
    </r>
  </si>
  <si>
    <t>SOD123, 3.7 x 1.6mm</t>
  </si>
  <si>
    <t>SOD123W (wide)</t>
  </si>
  <si>
    <t>3.7 x 1.9mm</t>
  </si>
  <si>
    <t>https://assets.nexperia.com/documents/package-information/SOD123W.pdf</t>
  </si>
  <si>
    <t>BAV99,235 (10k reel nexperia),     BAV99,215 (3k reel nexperia)</t>
  </si>
  <si>
    <t>Diode: 3x Array BAS16 100V 4pF 6nS SOT363</t>
  </si>
  <si>
    <t>Diode: 2x Series BAV99 100V 1.5pF 4nS SOT23-3</t>
  </si>
  <si>
    <t>1µA max @ 100V/25C,    30nA max @ 25V/25C,    0.3uA typical 50V/85C,    30uA max 25V/150C.   DiodesInc Graph shows 100nA typical at 5V/75C.</t>
  </si>
  <si>
    <t>100nA max @ 200V/25C (table) ,     0.2uA max @ 200V/85C typ (graph)</t>
  </si>
  <si>
    <t>BAS16H, 3x Array, 100V, 4pF, 6nS, 0.3uA/50V/85C typ, sot363, $0.05</t>
  </si>
  <si>
    <t>BAS21T, 3x Array, 250V, 5pF, 50nS, 0.2uA/100V/85C typ, sot363, $0.06</t>
  </si>
  <si>
    <t>PDZ33BG, 33Vz, 60pF, .3W, Sod123, OFF 25V@50nA/25C, ON 34V@5mA/25C, $0.02</t>
  </si>
  <si>
    <t>BZX84B43, 43Vz, 2% B, 35pF, .2W, Sot23, OFF 30V@50nA/25C, ON 44V@2mA/25C, $0.03</t>
  </si>
  <si>
    <t>BZX84C13LT1G, 13Vz, 5% C, 100pF, .2W, Sot23, OFF 8V@100nA/25C, ON 14.2V@20mA/25C, $0.02</t>
  </si>
  <si>
    <t>BZX84C18LT1G, 18Vz, 5% C, 100pF, .2W, Sot23, OFF 12.6V@50nA/25C, ON 19.2V@20mA/25C, $0.02</t>
  </si>
  <si>
    <t>BZX84C24, 24Vz, 5% C, 100pF, .2W, Sot23, OFF 16.8V@50nA/25C, ON 25.7V@20mA/25C, $0.02</t>
  </si>
  <si>
    <t>BZX84C30, 30Vz, 5% C, 100pF, .2W, Sot23, OFF 21V@50nA/25C, ON 32.4V@20mA/25C, $0.02</t>
  </si>
  <si>
    <t>1SMB5949, 100Vz, 200pF,3W, SMB, OFF 76V@0.1uA/25C, ON 95V@4mA/25C, $0.10</t>
  </si>
  <si>
    <t>14.2V max @ 20mA/15Ω/25C</t>
  </si>
  <si>
    <t>19.2V max @ 20mA/20Ω/25C</t>
  </si>
  <si>
    <t>25.7V max @20mA/25C</t>
  </si>
  <si>
    <t>32.4V max @20mA/25C</t>
  </si>
  <si>
    <t>44V max @2mA/25C</t>
  </si>
  <si>
    <t>34V max @5mA/25C</t>
  </si>
  <si>
    <t>.1uA max @ 8V/25C</t>
  </si>
  <si>
    <t>0.5uA max @ 12.6V/25C</t>
  </si>
  <si>
    <t>50nA max @ 16.8V/25C</t>
  </si>
  <si>
    <t>50nA max @ 21V/25C</t>
  </si>
  <si>
    <t>50nA max @ 30V/25C</t>
  </si>
  <si>
    <t>50nA max @ 25V/25C</t>
  </si>
  <si>
    <t>5uA max @ 62V/25C</t>
  </si>
  <si>
    <t>1uA max @ 76V/25C</t>
  </si>
  <si>
    <t>https://www.digikey.com/product-detail/en/samsung-electro-mechanics/CL10B102KB8WPNC/1276-6838-2-ND/5961322</t>
  </si>
  <si>
    <t>Cap: 1000pF 50V 10% 125C 0603</t>
  </si>
  <si>
    <t>Cap: 1000pF 50V 10% 125C 0603 $0.006</t>
  </si>
  <si>
    <t xml:space="preserve">CL10B102KB8WPNC (Samsung 4K reel),  </t>
  </si>
  <si>
    <t>https://www.digikey.com/product-detail/en/samsung-electro-mechanics/CL10B472KB8NFNC/1276-2064-2-ND/3887722</t>
  </si>
  <si>
    <t xml:space="preserve">CL10B472KB8NFNC (Samsung 4K reel),  </t>
  </si>
  <si>
    <t>Cap: 4700pF 50V 10% 125C 0603</t>
  </si>
  <si>
    <t>Cap: 4700pF 50V 10% 125C 0603 $0.006</t>
  </si>
  <si>
    <t>4Rnet 25V, 5%, .06W, 300ppm, 0804vex, $0.01</t>
  </si>
  <si>
    <t>https://www.digikey.com/product-detail/en/stackpole-electronics-inc/RMCF0805FT22M0/RMCF0805FT22M0TR-ND/6053747</t>
  </si>
  <si>
    <t>RMCF0805FT22M0 (5k reel, 22MΩ, 200ppm/C, $0.03)</t>
  </si>
  <si>
    <t>22M Ω</t>
  </si>
  <si>
    <t>normally 100ppm yet &gt; 1MΩ is 200ppm</t>
  </si>
  <si>
    <t>https://www.digikey.com/product-detail/en/stackpole-electronics-inc/RMCF0805FG1M00/RMCF0805FG1M00TR-ND/1712780</t>
  </si>
  <si>
    <t>1M Ω</t>
  </si>
  <si>
    <t>RMCF0805FG1M00 (10k reel, 100ppm/C)</t>
  </si>
  <si>
    <t>Res: 1MΩ 150V 1% .1W 100ppm 0805 $0.003</t>
  </si>
  <si>
    <t>330K Ω</t>
  </si>
  <si>
    <t>Res: 330KΩ 150V 1% .1W 100ppm 0805 $0.003</t>
  </si>
  <si>
    <t>RMCF0805FT330K (5k reel, 100ppm/C)</t>
  </si>
  <si>
    <t>https://www.digikey.com/product-detail/en/stackpole-electronics-inc/RMCF0805FT330K/RMCF0805FT330KTR-ND/1760482</t>
  </si>
  <si>
    <t>33K Ω</t>
  </si>
  <si>
    <r>
      <t xml:space="preserve">Res: 1.5Ω 200V 1% .25W </t>
    </r>
    <r>
      <rPr>
        <sz val="11"/>
        <color theme="9"/>
        <rFont val="Calibri"/>
        <family val="2"/>
        <scheme val="minor"/>
      </rPr>
      <t>200</t>
    </r>
    <r>
      <rPr>
        <sz val="11"/>
        <color theme="1"/>
        <rFont val="Calibri"/>
        <family val="2"/>
        <scheme val="minor"/>
      </rPr>
      <t>ppm 1206 $0.005</t>
    </r>
  </si>
  <si>
    <r>
      <t xml:space="preserve">Res: 22MΩ 150V 1% .1W </t>
    </r>
    <r>
      <rPr>
        <sz val="11"/>
        <color theme="9"/>
        <rFont val="Calibri"/>
        <family val="2"/>
        <scheme val="minor"/>
      </rPr>
      <t>200</t>
    </r>
    <r>
      <rPr>
        <sz val="11"/>
        <color theme="1"/>
        <rFont val="Calibri"/>
        <family val="2"/>
        <scheme val="minor"/>
      </rPr>
      <t>ppm 0805 $0.03</t>
    </r>
  </si>
  <si>
    <t xml:space="preserve">RMCF1206FT33K0 (5k reel stackpole, 100ppm),         </t>
  </si>
  <si>
    <t>https://www.digikey.com/product-detail/en/stackpole-electronics-inc/RMCF1206FT33K0/RMCF1206FT33K0TR-ND/1753956</t>
  </si>
  <si>
    <t>Res: 33KΩ 200V 1% .25W 100ppm 1206 $0.004</t>
  </si>
  <si>
    <t>BZX84C3V6, 3.6Vz, 5% C, 450pF, .2W, Sot23, OFF 1V@5uA, ON 4.5V@20mA, $0.02</t>
  </si>
  <si>
    <t>&lt;1uF, 100V, 20% x7r</t>
  </si>
  <si>
    <t>Cap: 2200pF 100V 20% 125C 0603</t>
  </si>
  <si>
    <t>Cap: 0.47uF 100V 20% 125C 1206</t>
  </si>
  <si>
    <t>Cap: 2200pF 100V 20% 125C 0603 $0.01</t>
  </si>
  <si>
    <t>eaton</t>
  </si>
  <si>
    <t>HCM1A1307V2-560-R, 56uH, 4A, 56mΩ, 13x12x7mm, $.85</t>
  </si>
  <si>
    <t>TPH3R70APLL1Q, N-Chan, 8-PowerVDFN, 100V, 4 mΩ, 2.5Vgs th, $0.61</t>
  </si>
  <si>
    <t>I am using Spice Downloaded From Internet (TINA Version is busted).</t>
  </si>
  <si>
    <t>TLV2333, 2Ch, $1.12, 350KHz, 15uVos mx 25C, 125pA typ 120C, .16V/uS, 102dB min, In -.1V to (Vcc+0.1V), Out 100mV to (Vcc-100mV), SO-8</t>
  </si>
  <si>
    <t>OpAmp: TLV2333 2ch 350KHz 16uVos 125pA 102dB SO8</t>
  </si>
  <si>
    <t>Switch vReg: LM76003, 60Vin 3.5Aout 30WQFN</t>
  </si>
  <si>
    <t>https://www.youtube.com/watch?v=LBWB79NWcJ4</t>
  </si>
  <si>
    <t>Existing Rollable Solar Panels</t>
  </si>
  <si>
    <t xml:space="preserve"> &gt; video</t>
  </si>
  <si>
    <t>http://www.renovagen.com/products/rapid-roll-i/</t>
  </si>
  <si>
    <t>Renova-Gen, Rapid Roll "I" - Under Development</t>
  </si>
  <si>
    <t>BAS21LT (10k reel, OnSemi, 250V, SOT-23-3)</t>
  </si>
  <si>
    <t>Diode: BAS21 200V 5pF 50nS SOT23-3</t>
  </si>
  <si>
    <t>BAS21LT, $0.02, 1x, sot23, 200V, 5pF, 50nS, 0.2uA/100V/85C</t>
  </si>
  <si>
    <t>some of these are 200V and leakage is specified at 200Vr</t>
  </si>
  <si>
    <t>https://www.digikey.com/product-detail/en/nexperia-usa-inc/BZX84-C30-235/1727-8507-2-ND/1156079</t>
  </si>
  <si>
    <t>Zener 2% (B)</t>
  </si>
  <si>
    <t>Zener 5% (C)</t>
  </si>
  <si>
    <t>Zener: 43Vz 2% B .2W 35pF SOT23-3</t>
  </si>
  <si>
    <t>Zener: 3.6Vz 5% C .2W 450pF SOT23-3</t>
  </si>
  <si>
    <t>Zener: 13Vz 5% C .2W 100pF SOT23-3</t>
  </si>
  <si>
    <t>Zener: 30Vz 5% C .2W 100pF SOT23-3</t>
  </si>
  <si>
    <t>SZBZX84C3V6LT3G (10K reel, OnSemi, 5% C),     BZX84-C3V6,235 (10K reel, Nexperia, 5%)</t>
  </si>
  <si>
    <t>BZX84-B43-215 (3k reel, nexperia, 2% B, $0.03)</t>
  </si>
  <si>
    <t>BZX84-C30,235 (10k reel, nexperia, 5% C, $0.017),       ZX84-C30,215 (3k reel, nexperia, $0.023)</t>
  </si>
  <si>
    <t>BZX84-C13,235 (10k reel, Nexperia, 5% C),       ZX84-C13,215 (3k reel, nexperia, $0.023)</t>
  </si>
  <si>
    <t>https://www.digikey.com/product-detail/en/stackpole-electronics-inc/RMCF1206FT1R50/RMCF1206FT1R50TR-ND/1759673</t>
  </si>
  <si>
    <t>https://www.digikey.com/product-detail/en/stackpole-electronics-inc/RMCF0805FG100K/RMCF0805FG100KTR-ND/1712614</t>
  </si>
  <si>
    <t>100K Ω</t>
  </si>
  <si>
    <t>Res: 100KΩ 150V 1% .1W 100ppm 0805 $0.003</t>
  </si>
  <si>
    <t>RMCF0805FG100K (10k reel, 100ppm/C)             RMCF0805FT100K (5k reel, 100ppm/C)</t>
  </si>
  <si>
    <t>47K</t>
  </si>
  <si>
    <t>22K</t>
  </si>
  <si>
    <t>https://www.digikey.com/product-detail/en/stackpole-electronics-inc/RMCF1206FG100K/RMCF1206FG100K-ND/1759124</t>
  </si>
  <si>
    <t>Res: 100KΩ 200V 1% .25W 100ppm 1206 $0.004</t>
  </si>
  <si>
    <t xml:space="preserve">RMCF1206FG100K (10k reel stackpole, 100ppm, $0.0035),         </t>
  </si>
  <si>
    <t>Schottky: PMEG10010, 100V .8Vf-1A 4nS 70pF SOD123Wide</t>
  </si>
  <si>
    <t>PMEG10010, 100V, 0.8V@1A, 4nS, 70pF, SOD123Wide, $0.08</t>
  </si>
  <si>
    <t>PMEG3005, 30V, 0.4V@.5A, Slow, 70pF, SOD123, $0.03</t>
  </si>
  <si>
    <t>Schottky: PMEG3005, 30V .4Vf-.5A Slow 70pF SOD123</t>
  </si>
  <si>
    <t>Protection between power supply rails</t>
  </si>
  <si>
    <t>https://www.digikey.com/product-detail/en/diodes-incorporated/APX809S-29SA-7/APX809S-29SA-7DITR-ND/6674548</t>
  </si>
  <si>
    <t>APX809S-29SA-7</t>
  </si>
  <si>
    <t>Cap: 0.1uF 25V 20% 125C 0603 $0.005</t>
  </si>
  <si>
    <t xml:space="preserve">Switch vReg: TPS561201, 17Vin 1Aout SOT23-6 $0.16   </t>
  </si>
  <si>
    <t>Switch vReg: TPS561201, 17Vin 1Aout SOT23-6</t>
  </si>
  <si>
    <t>https://www.digikey.com/product-detail/en/panasonic-electronic-components/ERA-6ARB333V/P33KBFDKR-ND/3073563</t>
  </si>
  <si>
    <t>ResTF 0.1% 75V 10ppm 0603</t>
  </si>
  <si>
    <t>NOT 30K</t>
  </si>
  <si>
    <t>https://www.digikey.com/product-detail/en/panasonic-electronic-components/ERA-3ARB303V/P30KBDDKR-ND/3073463</t>
  </si>
  <si>
    <r>
      <t xml:space="preserve">ResTF: 30KΩ 75V </t>
    </r>
    <r>
      <rPr>
        <sz val="11"/>
        <color theme="5"/>
        <rFont val="Calibri"/>
        <family val="2"/>
        <scheme val="minor"/>
      </rPr>
      <t>0.1</t>
    </r>
    <r>
      <rPr>
        <sz val="11"/>
        <color theme="1"/>
        <rFont val="Calibri"/>
        <family val="2"/>
        <scheme val="minor"/>
      </rPr>
      <t xml:space="preserve">% .06W </t>
    </r>
    <r>
      <rPr>
        <sz val="11"/>
        <color theme="5"/>
        <rFont val="Calibri"/>
        <family val="2"/>
        <scheme val="minor"/>
      </rPr>
      <t>10</t>
    </r>
    <r>
      <rPr>
        <sz val="11"/>
        <color theme="1"/>
        <rFont val="Calibri"/>
        <family val="2"/>
        <scheme val="minor"/>
      </rPr>
      <t xml:space="preserve">ppm </t>
    </r>
    <r>
      <rPr>
        <sz val="11"/>
        <color theme="5"/>
        <rFont val="Calibri"/>
        <family val="2"/>
        <scheme val="minor"/>
      </rPr>
      <t>0603</t>
    </r>
    <r>
      <rPr>
        <sz val="11"/>
        <rFont val="Calibri"/>
        <family val="2"/>
        <scheme val="minor"/>
      </rPr>
      <t xml:space="preserve"> $0.19/1k</t>
    </r>
  </si>
  <si>
    <t>Voltage Meas</t>
  </si>
  <si>
    <t>Pwr On Reset: APX809S-29 RstIsLow 2.9Vth SOT23</t>
  </si>
  <si>
    <t>Pwr On Reset: APX809S-29 RstIsLow 2.9Vth SOT23 $0.10</t>
  </si>
  <si>
    <t>Temp Monitor: TMP302C, 90 to 105C trip, OC output, $0.29</t>
  </si>
  <si>
    <t>https://www.digikey.com/product-detail/en/murata-electronics/NCU15XH103F60RC/490-18149-2-ND/9686714</t>
  </si>
  <si>
    <t>NCU15XH103F60RC</t>
  </si>
  <si>
    <t>murata</t>
  </si>
  <si>
    <t>Thermistor: 10KΩ 25C, 1% Ω acc, 3380K R25/R50, 3434K R25/R85, NCU15XH103F60, 0402, $0.02</t>
  </si>
  <si>
    <t xml:space="preserve">thermistor Ω  </t>
  </si>
  <si>
    <t xml:space="preserve">thermistor µA  </t>
  </si>
  <si>
    <t>Op Amp Vout</t>
  </si>
  <si>
    <t>set point (V)</t>
  </si>
  <si>
    <t>1% of resistance Ω</t>
  </si>
  <si>
    <t>thermistor Ω/°C</t>
  </si>
  <si>
    <t>accuracy °C</t>
  </si>
  <si>
    <t>10KΩ Thermistor at 0°C (27.219KΩ)</t>
  </si>
  <si>
    <t>10KΩ Thermistor at 25°C (10.000KΩ)</t>
  </si>
  <si>
    <t>10KΩ Thermistor at 70°C (2.228KΩ)</t>
  </si>
  <si>
    <t>PCB Type Sense (10 .. 100KΩ)</t>
  </si>
  <si>
    <r>
      <t xml:space="preserve">PcbTypeSense_1, 2 (10 </t>
    </r>
    <r>
      <rPr>
        <sz val="11"/>
        <color theme="1"/>
        <rFont val="Calibri"/>
        <family val="2"/>
      </rPr>
      <t xml:space="preserve">.. </t>
    </r>
    <r>
      <rPr>
        <sz val="11"/>
        <color theme="1"/>
        <rFont val="Calibri"/>
        <family val="2"/>
        <scheme val="minor"/>
      </rPr>
      <t>100KΩ)</t>
    </r>
  </si>
  <si>
    <t>PCB Type</t>
  </si>
  <si>
    <t>Master Ctlr</t>
  </si>
  <si>
    <t>String Base</t>
  </si>
  <si>
    <t>String Middle</t>
  </si>
  <si>
    <t>String End</t>
  </si>
  <si>
    <t xml:space="preserve">PcbSense Res Ω  </t>
  </si>
  <si>
    <t>PCB Type ID resistor between GND and Main Voltage Monitor is used to identify PCB Type.</t>
  </si>
  <si>
    <t>System adjust set point to 0.220V and then you have 220mV across your ID resistor to set current, which flows through 30KΩ Rfb resistor.</t>
  </si>
  <si>
    <t>Temp. °C</t>
  </si>
  <si>
    <r>
      <t xml:space="preserve">accuracy vout </t>
    </r>
    <r>
      <rPr>
        <sz val="9"/>
        <color theme="1"/>
        <rFont val="Calibri"/>
        <family val="2"/>
      </rPr>
      <t>µ</t>
    </r>
    <r>
      <rPr>
        <sz val="9"/>
        <color theme="1"/>
        <rFont val="Calibri Light"/>
        <family val="2"/>
      </rPr>
      <t>V err</t>
    </r>
  </si>
  <si>
    <t>Thermistor sits between GND and Main Voltage Monitor mux.</t>
  </si>
  <si>
    <t>System adjust set point to 0.220V and then you have 220mV across your thermistor, which flows through 30KΩ Rfb resistor.</t>
  </si>
  <si>
    <t>DESIGN: Measure Temperature via 10KΩ Thermistor</t>
  </si>
  <si>
    <t>thermistor µW self-heat</t>
  </si>
  <si>
    <t>infineon</t>
  </si>
  <si>
    <r>
      <rPr>
        <b/>
        <sz val="11"/>
        <color theme="6"/>
        <rFont val="Calibri"/>
        <family val="2"/>
      </rPr>
      <t>µ</t>
    </r>
    <r>
      <rPr>
        <b/>
        <sz val="11"/>
        <color theme="6"/>
        <rFont val="Calibri"/>
        <family val="2"/>
        <scheme val="minor"/>
      </rPr>
      <t>Processor Support</t>
    </r>
  </si>
  <si>
    <t>Type ID Resistor</t>
  </si>
  <si>
    <t>5.2V, 0 to 2Amps, 10W, powers one string of elements (1 to 8 pcb's)</t>
  </si>
  <si>
    <t>36…58V, 0 to 4Amps, powers the entire array, 20 strings with 10W/string is 200W total</t>
  </si>
  <si>
    <t>close to earth ground, main power bus, 8 to 80Amps, 200 to 400VDC, 20KW</t>
  </si>
  <si>
    <t>Max Voltage Input</t>
  </si>
  <si>
    <t>220K</t>
  </si>
  <si>
    <t>470K</t>
  </si>
  <si>
    <t xml:space="preserve"> &gt; Internal Power Supply</t>
  </si>
  <si>
    <t xml:space="preserve"> &gt; External Array Power</t>
  </si>
  <si>
    <t>MainPowerBus-</t>
  </si>
  <si>
    <t>MainPowerBus+</t>
  </si>
  <si>
    <t>EarthGroundSense</t>
  </si>
  <si>
    <t>EarthGround_Shield</t>
  </si>
  <si>
    <t>PvPwr+</t>
  </si>
  <si>
    <t>PvPwr-</t>
  </si>
  <si>
    <t>16..84VDC from PV solar cell, 0 to 300W</t>
  </si>
  <si>
    <t>Rout (Ω)</t>
  </si>
  <si>
    <t>Rfb (Ω)</t>
  </si>
  <si>
    <t>Hi A/D Vin range, Typical</t>
  </si>
  <si>
    <t>2019 product. XMC4200-F64K256 processor, arduino/mikrobus connectors</t>
  </si>
  <si>
    <t>Table of Contents (click below links to visit areas)</t>
  </si>
  <si>
    <t>Mvm_Inv - (Main Voltage Monitor, Inverter configuration via Rg series resistor, 16bit a/d can use this while dc/dc conversion is handled by uProcessor)</t>
  </si>
  <si>
    <t>XMC4200F64K256BAXQSA1 (160 qty mult, $3.25 arrow),      XMC4200F64K256BAXQSA1 (960 qty mult, $2.97 arrow)</t>
  </si>
  <si>
    <t>https://www.digikey.com/product-detail/en/infineon-technologies/XMC4200F64F256BAXQMA1/XMC4200F64F256BAXQMA1-ND/5969833</t>
  </si>
  <si>
    <t>uProc: XMC4200F64K256BAXQ, M4, 256K flash, 40k ram, LQFP-64</t>
  </si>
  <si>
    <t>uProc: XMC4200F64K256BAXQ, M4, 256K flash, 40k ram, LQFP-64, $2.97</t>
  </si>
  <si>
    <t>GOOD &gt;&gt;</t>
  </si>
  <si>
    <t>gsw has this &gt;&gt;</t>
  </si>
  <si>
    <t>Need to add additional EEPROM for data. Note that CAT24AA04 is used in XMC4200 Digital Power Control Card  yet is an obsolete ic. So perhaps #CAT24C256WI-GT3 ($0.20, 256Kb) would be ok?). Search reference designs for the word "eeprom" to see examples of this.</t>
  </si>
  <si>
    <t>Utilize XMC4200 Platform2Go (KITXMCPLT2GOXMC4200TOBO1) which uses XMC4200F64K256BAXQ microprocessor</t>
  </si>
  <si>
    <t>Need to add USB connector yet not sure if we add 2nd Xmc4200 as debugger. See user's manual (KITXMCPLT2GOXMC4200TOBO1) for details.</t>
  </si>
  <si>
    <t>300W prototype attaches to XMC4200 Platform2Go via  Arduino/X1/X2 connectors (i.e. KITXMCPLT2GOXMC4200TOBO1 reference board with XMC4200F64K256BAXQ microprocessor).</t>
  </si>
  <si>
    <t>lattice</t>
  </si>
  <si>
    <t>arrow price is $2.67</t>
  </si>
  <si>
    <t>https://media.digikey.com/pdf/Data%20Sheets/Lattice%20PDFs/MachXO3L_StarterKit_UG.pdf</t>
  </si>
  <si>
    <r>
      <t>LCMXO3</t>
    </r>
    <r>
      <rPr>
        <sz val="11"/>
        <color theme="9"/>
        <rFont val="Calibri"/>
        <family val="2"/>
        <scheme val="minor"/>
      </rPr>
      <t>LF</t>
    </r>
    <r>
      <rPr>
        <sz val="11"/>
        <color theme="1"/>
        <rFont val="Calibri"/>
        <family val="2"/>
        <scheme val="minor"/>
      </rPr>
      <t>-6900C-S-EVN Evaluation PCB</t>
    </r>
  </si>
  <si>
    <r>
      <t>LCMXO3</t>
    </r>
    <r>
      <rPr>
        <sz val="11"/>
        <color theme="9"/>
        <rFont val="Calibri"/>
        <family val="2"/>
        <scheme val="minor"/>
      </rPr>
      <t>L</t>
    </r>
    <r>
      <rPr>
        <sz val="11"/>
        <color theme="1"/>
        <rFont val="Calibri"/>
        <family val="2"/>
        <scheme val="minor"/>
      </rPr>
      <t>-6900C-5BG256C Evaluation PCB</t>
    </r>
  </si>
  <si>
    <t>http://www.latticesemi.com/en/Products/DevelopmentBoardsAndKits/MachXO3LStarterKit</t>
  </si>
  <si>
    <t>portal:</t>
  </si>
  <si>
    <t>user's guide:</t>
  </si>
  <si>
    <r>
      <t>LCMXO3LF-</t>
    </r>
    <r>
      <rPr>
        <sz val="11"/>
        <color theme="9"/>
        <rFont val="Calibri"/>
        <family val="2"/>
        <scheme val="minor"/>
      </rPr>
      <t>94</t>
    </r>
    <r>
      <rPr>
        <sz val="11"/>
        <color theme="1"/>
        <rFont val="Calibri"/>
        <family val="2"/>
        <scheme val="minor"/>
      </rPr>
      <t>00C Evaluation PCB.</t>
    </r>
  </si>
  <si>
    <t>Design uses #LCMXO3L-640E-5MG121C fpga (640 lut, 100 io, spi, schmidt, 3.3V, $2.67). 300W prototype attaches to evaluation pcb #LCMXO3L-6900C-5BG256C via four 2x20 headers (160pins J3/J4/J6/J8)</t>
  </si>
  <si>
    <t>http://www.latticesemi.com/-/media/LatticeSemi/Documents/DataSheets/MachXO23/FPGA-DS-02032-2-4-MachXO3-Family-Data-Sheet.ashx?document_id=50121</t>
  </si>
  <si>
    <t>FPGA IC User's Guide (LCMXO3L-640E)</t>
  </si>
  <si>
    <t>Eval PCB User's Guide (LCMXO3L-6900C-5BG256C):</t>
  </si>
  <si>
    <t>Eval PCB Portal (LCMXO3L-6900C-5BG256C):</t>
  </si>
  <si>
    <t>http://ww1.microchip.com/downloads/en/DeviceDoc/MCP3461-2-4-Two-Four-Eight-Channel-153.6%20ksps-Low-Noise-16-Bit-Delta-Sigma-ADC-DS20006180B.pdf</t>
  </si>
  <si>
    <t>https://www.microchip.com/wwwproducts/en/MCP3461</t>
  </si>
  <si>
    <t>Product Webpage:</t>
  </si>
  <si>
    <t>MCP3461 IC</t>
  </si>
  <si>
    <t>MCP3461T-E/ST (TSSOP-20),                   Different package: MCP3461T-E/NC (20UQFN, NOT DROP IN COMPATIBLE)</t>
  </si>
  <si>
    <t>TSSOP-20</t>
  </si>
  <si>
    <t>https://www.digikey.com/product-detail/en/microchip-technology/MCP3461T-E-ST/150-MCP3461T-E-STTR-ND/11618272</t>
  </si>
  <si>
    <t>http://ww1.microchip.com/downloads/en/DeviceDoc/MCP3564-ADC-Eval-Board-for-PIC32-User-Guide-50002858A.pdf</t>
  </si>
  <si>
    <r>
      <t xml:space="preserve">Eval PCB w/ PIC </t>
    </r>
    <r>
      <rPr>
        <sz val="11"/>
        <color theme="1"/>
        <rFont val="Calibri"/>
        <family val="2"/>
      </rPr>
      <t>µ</t>
    </r>
    <r>
      <rPr>
        <sz val="11"/>
        <color theme="1"/>
        <rFont val="Calibri"/>
        <family val="2"/>
        <scheme val="minor"/>
      </rPr>
      <t>Processor:</t>
    </r>
  </si>
  <si>
    <t>MCP3461T-E/ST -- 16bit, delta sigma, $1.53, 60 to 150K s/sec, programmable gain (our 300W prototype goes direct to TSSOP-20, no eval pcb)</t>
  </si>
  <si>
    <t>https://www.amazon.com/dp/B074DTK99J/ref=cm_sw_em_r_mt_dp_U_SAhnEb48DB006</t>
  </si>
  <si>
    <t>Amphenol (FCI) #D25P33E4GX00LF (GX is no jackscrew, GV is round riveted jackscrew, P33/S33 is Good USA &amp; P13/S13 is Bad EUROPE), Male Brass 5A (excellent)</t>
  </si>
  <si>
    <t>Amphenol (FCI) #D25S33E4GX00LF (GX is no jackscrew, GV is round riveted jackscrew, P33/S33 is Good USA &amp; P13/S13 is Bad EUROPE), Female Phos Bronse 5A (excellent)</t>
  </si>
  <si>
    <t>https://www.digikey.com/product-detail/en/amphenol-icc-fci/ID25P33E4GV00LF/609-5772-ND/1536195</t>
  </si>
  <si>
    <t>ID25P33E4GV00LF</t>
  </si>
  <si>
    <t>MC4 Adaptor cable cut in half</t>
  </si>
  <si>
    <t>https://www.digikey.com/product-detail/en/amphenol-icc-fci/D25S33E4GX00LF/609-1511-ND/1001825</t>
  </si>
  <si>
    <t>D25S33E4GX00LF</t>
  </si>
  <si>
    <t>Prototype uses DB25f, DB25m, MC4f and MC4m. For details search this file for "Connector Strategy" and "D25P33E4GX00LF" and see discussion in "Ma2_Solar_RD_PLAN_v0.985_ORIGINAL.docx".</t>
  </si>
  <si>
    <t>http://www.penn-eng.com/bulletins_A4/kdata_A4.pdf</t>
  </si>
  <si>
    <t>KF2-M3.5-ET</t>
  </si>
  <si>
    <t>pem</t>
  </si>
  <si>
    <t>fci</t>
  </si>
  <si>
    <t>Connector: DB25 male 5A RtAngle RivotedJackS ForkStake</t>
  </si>
  <si>
    <t>Connector: DB25 female 5A RtAngle ThreadedMt ForkStake</t>
  </si>
  <si>
    <t>AMAZON 250 qty $60:  https://www.amazon.com/dp/B07R3YM4K2/ref=cm_sw_em_r_mt_dp_U_7Oy2EbWDNKM5M</t>
  </si>
  <si>
    <t>Broaching Nut</t>
  </si>
  <si>
    <t>NP Fasteners has Broaching Nuts: http://www.npfasteners.com/broaching/cbn.htm</t>
  </si>
  <si>
    <t>Broaching Nut, M3.5 (similar to 6-32), tin plated steel (for pcb), PEM #KF2-M3.5-ET</t>
  </si>
  <si>
    <t xml:space="preserve"> &gt;</t>
  </si>
  <si>
    <t>DMT10H009SPS, N-Chan, 8PwrTdfn, 100V, 8mΩ, 4.5Vgs th, $0.37</t>
  </si>
  <si>
    <t>BSS123L, N-Chan, Sot23, 100V, 6Ω, 3Vgs th fully on, $0.04</t>
  </si>
  <si>
    <t xml:space="preserve">DMP10H4D2S, P-Chan, Sot23, 100V, 4Ω, 4Vgs th fully on, $0.08
</t>
  </si>
  <si>
    <t>BSS84PH, P-Chan, Sot23, 60V, 8Ω, 3.5Vgs th fully on, $0.04</t>
  </si>
  <si>
    <t>DMN6075S, N-Chan, Sot23, 60V, 85mΩ, 3.5Vgs th fully on, $0.06</t>
  </si>
  <si>
    <t>DMP3099L, P-Chan, Sot23, 30V, 65mΩ, 4Vgs th fully on, $0.06</t>
  </si>
  <si>
    <t>DMG2302UK, N-Chan, Sot23, 20Vds, 12Vgs, 90mΩ, 1Vgs th, 130pF Ciss, 10uA Idss/Igss, Built In Zeners, $0.05</t>
  </si>
  <si>
    <t>DMC3400SDW, N-P Array, Sot363, 30Vds, 20Vgs, 400mΩ, 3Vgs th, 50pF Ciss, 10uA Idss/Igss, $0.06</t>
  </si>
  <si>
    <t>BSS131H, N-Chan, Sot23, 240V, 20Ω, 3Vgs th fully on, SPICE HAD 8uA Gate to Drain (BUSTED!!!), $0.08</t>
  </si>
  <si>
    <t>BSR92PH, P-Chan, Sot23, 250V, 20Ω, 3Vgs th fully on, $0.15</t>
  </si>
  <si>
    <t>STB36N60M6, N-Chan, D2PAK, 600V, 30A, 100mΩ, 5Vgs, $1.95</t>
  </si>
  <si>
    <t>spice downloaded from st.com, works ok</t>
  </si>
  <si>
    <t>https://www.analog.com/media/en/technical-documentation/data-sheets/ltc4359.pdf</t>
  </si>
  <si>
    <t>200Vin, n-channel mosfet controller</t>
  </si>
  <si>
    <t>LTC4359</t>
  </si>
  <si>
    <t>https://www.analog.com/en/technical-articles/ideal-diode-combines-200v-busses.html</t>
  </si>
  <si>
    <t>Ideal Diode -- Implement Diode with Mosfet</t>
  </si>
  <si>
    <t xml:space="preserve">Ltc4357, $2, ideal diode fet controller, 2008, </t>
  </si>
  <si>
    <t>Ideal Diode Combines 200V Busses via $3 LTC4359</t>
  </si>
  <si>
    <t>For more details, search this file for "Ideal Diode"</t>
  </si>
  <si>
    <t>http://www.ti.com/lit/ds/symlink/tlv1805-q1.pdf?HQS=TI-null-null-digikeymode-df-pf-null-wwe&amp;ts=1591463085917&amp;ref_url=http://www.ti.com/general/docs/suppproductinfo.tsp?distId%3D10&amp;gotoUrl=http://www.ti.com/lit/gpn/tlv1805-q1</t>
  </si>
  <si>
    <r>
      <t xml:space="preserve">All about ideal diode circuits. </t>
    </r>
    <r>
      <rPr>
        <sz val="11"/>
        <color rgb="FFFF0000"/>
        <rFont val="Calibri"/>
        <family val="2"/>
        <scheme val="minor"/>
      </rPr>
      <t>(good)</t>
    </r>
  </si>
  <si>
    <t>TLV1805 comparator drives mosfet (see datasheet for info on how this works)</t>
  </si>
  <si>
    <t>https://www.digikey.com/product-detail/en/texas-instruments/TLV1805DBVR/296-53434-2-ND/9954214</t>
  </si>
  <si>
    <t>TLV1805DBVR</t>
  </si>
  <si>
    <t>Comparator: 4ch LMV339 OC out 9mVos 400nA OT TSSOP14</t>
  </si>
  <si>
    <t>Comparator: 1ch TLV1805, 7mVos 40V SOT23-6</t>
  </si>
  <si>
    <t>Comparator: 1ch TLV1805, 7mVos 40V SOT23-6 $0.34</t>
  </si>
  <si>
    <t>Ideal_Diode_COMPARATOR_Mosfet_15A_-400V_v4b.TSC</t>
  </si>
  <si>
    <t>gate bias for case when Hi1 or Hi2 is kept ON (buck or boost)</t>
  </si>
  <si>
    <t>https://www.digikey.com/product-detail/en/recom-power/R1SE-0515-H2-R/945-2274-2-ND/5226208</t>
  </si>
  <si>
    <t>R1SE-0515-H2-R</t>
  </si>
  <si>
    <t>PESE1-S5-S15-M-TR</t>
  </si>
  <si>
    <t>PDSE1-S5-S15-S</t>
  </si>
  <si>
    <t>9 to 70</t>
  </si>
  <si>
    <t>DcToDc: 5V_to_5V, 1W 2kV Isolated Unreg 12x10x7mm SMD8</t>
  </si>
  <si>
    <t>DcToDc: 5V_to_15V, 1W 2kV Isolated Unreg 12x10x7mm SMD8</t>
  </si>
  <si>
    <t>DcToDc: 5V_to_15V, 1W 2kV Isolated Unreg 12x10x7mm SMD8 $2.52</t>
  </si>
  <si>
    <t>DESIGN: Ideal Diode at End of String (600V, 15A)</t>
  </si>
  <si>
    <t>Ideal diode sits at end of string (part of last element in string), 600V/15A</t>
  </si>
  <si>
    <t>Search this file for: "Implement Diode with Mosfet",    "Ideal Diode"</t>
  </si>
  <si>
    <t xml:space="preserve"> &gt; One string is voltage source (e.g. 350VDC, 8A)</t>
  </si>
  <si>
    <t xml:space="preserve"> &gt; Other strings are current source</t>
  </si>
  <si>
    <t xml:space="preserve"> &gt; We expect IDEAL DIODE to be on 100% of the time and not turn OFF.</t>
  </si>
  <si>
    <t xml:space="preserve"> &gt; We are NOT using this to regulate MOSFET Ron to create a Vds voltage drop across MOSFET that causes it to set output voltage</t>
  </si>
  <si>
    <t xml:space="preserve">    (that would not work since this takes several uSec to turn on/off). Instead we use DC-to-DC Converter Current Source to determine string output voltage.</t>
  </si>
  <si>
    <t>Create 3.45V Clamp</t>
  </si>
  <si>
    <t>48V-Array-Power to 5V-String-Power, DC-to-DC, 10W</t>
  </si>
  <si>
    <t>10V Gate Power Supply, 24..75Vin, DC-to-DC, 2W</t>
  </si>
  <si>
    <t>Canbus Interface, Isolated</t>
  </si>
  <si>
    <t>Dc-to-dc VOUT measurement w/ compensation (realtime voltage measurement)</t>
  </si>
  <si>
    <t>Convert 5.5V String power to 4.3V/3.3V power</t>
  </si>
  <si>
    <t>Convert +3.3V power to -1V power</t>
  </si>
  <si>
    <t>Convert 5.5V power to +3.3V power</t>
  </si>
  <si>
    <t>Create buffered 3.3Vref</t>
  </si>
  <si>
    <t>Create master calibration voltage</t>
  </si>
  <si>
    <t>Detect &gt;3V given 0 to 100Vin</t>
  </si>
  <si>
    <t>Detect &gt;88V given 0 to 100Vin</t>
  </si>
  <si>
    <t>System Master Reset, HiPwrOn</t>
  </si>
  <si>
    <t>Communicate between array elements</t>
  </si>
  <si>
    <t>Bypass entire converter via Mosfet</t>
  </si>
  <si>
    <t>Main voltage monitor Mux/Amplifier</t>
  </si>
  <si>
    <t>Basic buck converter &amp; mosfet gate leakage measurement</t>
  </si>
  <si>
    <t>Ideal Diode at end of string, 600V/15A</t>
  </si>
  <si>
    <t>License</t>
  </si>
  <si>
    <t>This material is provided "As Is", without warranty of any kind, express or implied.</t>
  </si>
  <si>
    <t>Gate_Drv_Testing_UCC27282_2xFet_Switch_v14f.TSC</t>
  </si>
  <si>
    <t>Current_and_Voltage_Sources_In_An_Array_v2.TSC</t>
  </si>
  <si>
    <t>Current and Voltage Sources in an Array</t>
  </si>
  <si>
    <t>TPS561201_5V_to_3.3V_17Vin_SlowSim_PRECISE_CAPS_v3a.TSC</t>
  </si>
  <si>
    <t>5Vpwr_to_smaller_Vpwr_SlowSim_PRECISE_CAPS_v3b.TSC</t>
  </si>
  <si>
    <t>3.3Vpwr_to_-1Vpwr_Conversion_QuickSim_SIMPLE_CAPS_v1f.TSC</t>
  </si>
  <si>
    <t>Amplifier_-2_to_20mV_SE_5MHz_LMV794_1ch_v2b.TSC</t>
  </si>
  <si>
    <t>Amplifier_Mux_-30_to_30mV_SE_14ch_5MHz_LMV794_v1h.TSC</t>
  </si>
  <si>
    <t>SystemMasterReset_HiPwrOn_OptoCoupler_11a.TSC</t>
  </si>
  <si>
    <t>Current Monitor, 14 channel, 0 to 15A</t>
  </si>
  <si>
    <t>Current Monitor, 1 channel, 0 to 15A</t>
  </si>
  <si>
    <t>Researcher Spreadsheets</t>
  </si>
  <si>
    <t>UMass Spreadsheet on Materials and Stackup (Ben Tan)</t>
  </si>
  <si>
    <t>Manhattan2 Solar R&amp;D Spreadsheet (Glenn Weinreb, GWeinreb_Manhattan2_ResearchNotes.xlsx)</t>
  </si>
  <si>
    <t>°</t>
  </si>
  <si>
    <t>https://docs.google.com/spreadsheets/d/19KGhU5Li8gmt0d7b2DLixzUuKwI4GNSobysC2w3LoSQ/edit?ts=5ed575bd#gid=0</t>
  </si>
  <si>
    <t>Cost of Solar</t>
  </si>
  <si>
    <t>https://www.nrel.gov/docs/fy19osti/72133.pdf</t>
  </si>
  <si>
    <t>https://www.nrel.gov/analysis/solar-cost-analysis.html</t>
  </si>
  <si>
    <t>U.S. Solar Photovoltaic System Cost Benchmark, NREL, 2018 Report</t>
  </si>
  <si>
    <t>Cost of Solar, NREL webportal</t>
  </si>
  <si>
    <t>https://www.nrel.gov/docs/fy18osti/70748.pdf</t>
  </si>
  <si>
    <t>PV Solar Technology, Products, and Costs</t>
  </si>
  <si>
    <t>NREL Cost Reduction Roadmap (Jan 2018)</t>
  </si>
  <si>
    <t>SCH Symbol</t>
  </si>
  <si>
    <t>Temp Monitor</t>
  </si>
  <si>
    <t>Memory</t>
  </si>
  <si>
    <t>Ma2_no</t>
  </si>
  <si>
    <t>20K</t>
  </si>
  <si>
    <t>30K</t>
  </si>
  <si>
    <r>
      <rPr>
        <sz val="11"/>
        <color theme="5"/>
        <rFont val="Calibri"/>
        <family val="2"/>
        <scheme val="minor"/>
      </rPr>
      <t>0.1%</t>
    </r>
    <r>
      <rPr>
        <sz val="11"/>
        <color theme="6"/>
        <rFont val="Calibri"/>
        <family val="2"/>
        <scheme val="minor"/>
      </rPr>
      <t xml:space="preserve"> 75V .06W </t>
    </r>
    <r>
      <rPr>
        <sz val="11"/>
        <color theme="9"/>
        <rFont val="Calibri"/>
        <family val="2"/>
        <scheme val="minor"/>
      </rPr>
      <t>25</t>
    </r>
    <r>
      <rPr>
        <sz val="11"/>
        <color theme="6"/>
        <rFont val="Calibri"/>
        <family val="2"/>
        <scheme val="minor"/>
      </rPr>
      <t>ppm 0603</t>
    </r>
  </si>
  <si>
    <r>
      <t xml:space="preserve">0.5% 150V .12W 25ppm </t>
    </r>
    <r>
      <rPr>
        <sz val="11"/>
        <color theme="9"/>
        <rFont val="Calibri"/>
        <family val="2"/>
        <scheme val="minor"/>
      </rPr>
      <t xml:space="preserve">1206 </t>
    </r>
  </si>
  <si>
    <t>ERA-3ARB303V (5k reel, Panasonic, 0.1%, 10ppm/C, $0.19/1K reel, 30KΩ)</t>
  </si>
  <si>
    <t>ERA-6ARB333V (1K reel, Panasonic 0.1% 10ppm  0805 $0.22/1K qty, 33KΩ)</t>
  </si>
  <si>
    <t>RG2012P-275-B-T5 (5k reel susumu, 0.1% 25ppm 0805, 2.7MΩ)</t>
  </si>
  <si>
    <r>
      <t xml:space="preserve">ResTF: 2.7MΩ 150V </t>
    </r>
    <r>
      <rPr>
        <sz val="11"/>
        <color theme="9"/>
        <rFont val="Calibri"/>
        <family val="2"/>
        <scheme val="minor"/>
      </rPr>
      <t>0.1</t>
    </r>
    <r>
      <rPr>
        <sz val="11"/>
        <rFont val="Calibri"/>
        <family val="2"/>
        <scheme val="minor"/>
      </rPr>
      <t>%</t>
    </r>
    <r>
      <rPr>
        <sz val="11"/>
        <color theme="1"/>
        <rFont val="Calibri"/>
        <family val="2"/>
        <scheme val="minor"/>
      </rPr>
      <t xml:space="preserve"> .1W </t>
    </r>
    <r>
      <rPr>
        <sz val="11"/>
        <color theme="9"/>
        <rFont val="Calibri"/>
        <family val="2"/>
        <scheme val="minor"/>
      </rPr>
      <t>25</t>
    </r>
    <r>
      <rPr>
        <sz val="11"/>
        <color theme="1"/>
        <rFont val="Calibri"/>
        <family val="2"/>
        <scheme val="minor"/>
      </rPr>
      <t xml:space="preserve">ppm </t>
    </r>
    <r>
      <rPr>
        <sz val="11"/>
        <color theme="9"/>
        <rFont val="Calibri"/>
        <family val="2"/>
        <scheme val="minor"/>
      </rPr>
      <t>0805</t>
    </r>
    <r>
      <rPr>
        <sz val="11"/>
        <color theme="1"/>
        <rFont val="Calibri"/>
        <family val="2"/>
        <scheme val="minor"/>
      </rPr>
      <t xml:space="preserve"> $0.08</t>
    </r>
  </si>
  <si>
    <t>Yageo</t>
  </si>
  <si>
    <r>
      <rPr>
        <sz val="11"/>
        <color theme="5"/>
        <rFont val="Calibri"/>
        <family val="2"/>
        <scheme val="minor"/>
      </rPr>
      <t>0.1%</t>
    </r>
    <r>
      <rPr>
        <sz val="11"/>
        <color theme="6"/>
        <rFont val="Calibri"/>
        <family val="2"/>
        <scheme val="minor"/>
      </rPr>
      <t xml:space="preserve"> 150V .1W </t>
    </r>
    <r>
      <rPr>
        <sz val="11"/>
        <color theme="9"/>
        <rFont val="Calibri"/>
        <family val="2"/>
        <scheme val="minor"/>
      </rPr>
      <t>25</t>
    </r>
    <r>
      <rPr>
        <sz val="11"/>
        <color theme="6"/>
        <rFont val="Calibri"/>
        <family val="2"/>
        <scheme val="minor"/>
      </rPr>
      <t xml:space="preserve">ppm </t>
    </r>
    <r>
      <rPr>
        <sz val="11"/>
        <color theme="9"/>
        <rFont val="Calibri"/>
        <family val="2"/>
        <scheme val="minor"/>
      </rPr>
      <t>0805</t>
    </r>
  </si>
  <si>
    <r>
      <rPr>
        <sz val="11"/>
        <color theme="5"/>
        <rFont val="Calibri"/>
        <family val="2"/>
        <scheme val="minor"/>
      </rPr>
      <t>0.1%</t>
    </r>
    <r>
      <rPr>
        <sz val="11"/>
        <color theme="6"/>
        <rFont val="Calibri"/>
        <family val="2"/>
        <scheme val="minor"/>
      </rPr>
      <t xml:space="preserve"> 150V .1W </t>
    </r>
    <r>
      <rPr>
        <sz val="11"/>
        <color theme="9"/>
        <rFont val="Calibri"/>
        <family val="2"/>
        <scheme val="minor"/>
      </rPr>
      <t>10</t>
    </r>
    <r>
      <rPr>
        <sz val="11"/>
        <color theme="6"/>
        <rFont val="Calibri"/>
        <family val="2"/>
        <scheme val="minor"/>
      </rPr>
      <t xml:space="preserve">ppm </t>
    </r>
    <r>
      <rPr>
        <sz val="11"/>
        <color theme="9"/>
        <rFont val="Calibri"/>
        <family val="2"/>
        <scheme val="minor"/>
      </rPr>
      <t>0805</t>
    </r>
  </si>
  <si>
    <t>49.9K</t>
  </si>
  <si>
    <t>RMCF0603FT10R0 (10K reel, 100ppm/C, 1%, 0603)</t>
  </si>
  <si>
    <t>RMCF0603FT33R0 (10K reel, 100ppm/C, 1%, 0603)</t>
  </si>
  <si>
    <t>RMCF0603FT62R0 (10K reel, 100ppm/C, 1%, 0603)</t>
  </si>
  <si>
    <t>RMCF0603FT100R (10K reel, 100ppm/C, 1%, 0603)</t>
  </si>
  <si>
    <t>RMCF0603FT220R (10K reel, 100ppm/C, 1%, 0603)</t>
  </si>
  <si>
    <t>RMCF0603FT2K20 (10K reel, 100ppm/C, 1%, 0603)</t>
  </si>
  <si>
    <t>RMCF0603FT3K90 (10K reel, 100ppm/C, 1%, 0603)</t>
  </si>
  <si>
    <t>RMCF0603FT49K9 (10K reel, 100ppm/C, 1%, 0603)</t>
  </si>
  <si>
    <t>RMCF0603FT100K (10K reel, 100ppm/C, 1%, 0603)</t>
  </si>
  <si>
    <t>RMCF0603FT220K (10K reel, 100ppm/C, 1%, 0603)</t>
  </si>
  <si>
    <t>RMCF0603FG1M00 (10K reel, 100ppm/C, 1%, 0603)</t>
  </si>
  <si>
    <t>thin film due to low ohms and 100ppm</t>
  </si>
  <si>
    <t>RNCP0603FTD1R00 (5K reel, 100ppm/C, 1%, 0603)</t>
  </si>
  <si>
    <t>CRCW06033R30FKEA (5K reel, 100ppm/C, 1%, 0603)</t>
  </si>
  <si>
    <t>vishay</t>
  </si>
  <si>
    <t>CRCW06034R70FKEA</t>
  </si>
  <si>
    <t>NOT 50K (49.9k easier to find)</t>
  </si>
  <si>
    <t>https://www.digikey.com/product-detail/en/stackpole-electronics-inc/RMCF0603FT10R0/RMCF0603FT10R0TR-ND/1761152</t>
  </si>
  <si>
    <t>2.7MEG</t>
  </si>
  <si>
    <r>
      <t xml:space="preserve">Res: 1.5MΩ </t>
    </r>
    <r>
      <rPr>
        <sz val="11"/>
        <color theme="9"/>
        <rFont val="Calibri"/>
        <family val="2"/>
        <scheme val="minor"/>
      </rPr>
      <t>150V</t>
    </r>
    <r>
      <rPr>
        <sz val="11"/>
        <color theme="1"/>
        <rFont val="Calibri"/>
        <family val="2"/>
        <scheme val="minor"/>
      </rPr>
      <t xml:space="preserve"> 1% .25W 100ppm 1206 $0.008 (normally 1206 is 200V/.25W yet &gt; 1MΩ is 150V/.12W)</t>
    </r>
  </si>
  <si>
    <t>Jumpers</t>
  </si>
  <si>
    <t>Temp Monitor: TMP302C, 90 to 105C trip OC out, SOT-563</t>
  </si>
  <si>
    <t>RR0816P-101-D</t>
  </si>
  <si>
    <t>https://www.digikey.com/product-detail/en/susumu/RR0816P-101-D/RR08P100DTR-ND/432161</t>
  </si>
  <si>
    <t>RR0816P-151-D</t>
  </si>
  <si>
    <t>https://www.digikey.com/product-detail/en/susumu/RR0816P-151-D/RR08P150DTR-ND/432165</t>
  </si>
  <si>
    <t>https://www.digikey.com/product-detail/en/susumu/RR0816P-2940-D-46A/RR0816P-2940-D-46A-ND/1250216</t>
  </si>
  <si>
    <t>RR0816P-2940-D-46A</t>
  </si>
  <si>
    <t>RR0816P-471-D</t>
  </si>
  <si>
    <t>RR0816P-561-D</t>
  </si>
  <si>
    <t>714 does not exist so we go to 715</t>
  </si>
  <si>
    <t>https://www.digikey.com/product-detail/en/susumu/RR0816P-7150-D-83A/RR08P715DTR-ND/676145</t>
  </si>
  <si>
    <t>RR0816P-7150-D-83A</t>
  </si>
  <si>
    <t>https://www.digikey.com/product-detail/en/susumu/RR0816P-821-D/RR08P820DTR-ND/432183</t>
  </si>
  <si>
    <t>RR0816P-821-D</t>
  </si>
  <si>
    <t>https://www.digikey.com/product-detail/en/susumu/RR0816P-911-D/RR08P910DTR-ND/432184</t>
  </si>
  <si>
    <t>RR0816P-911-D</t>
  </si>
  <si>
    <t>https://www.digikey.com/product-detail/en/susumu/RR0816P-102-D/RR08P1-0KDTR-ND/432185</t>
  </si>
  <si>
    <t>RR0816P-102-D</t>
  </si>
  <si>
    <t>https://www.digikey.com/product-detail/en/susumu/RR0816P-1741-D-24H/RR0816P-1741-D-24H-ND/1250256</t>
  </si>
  <si>
    <t>RR0816P-1741-D-24H</t>
  </si>
  <si>
    <t>https://www.digikey.com/product-detail/en/susumu/RR0816P-202-D/RR08P2-0KDTR-ND/432192</t>
  </si>
  <si>
    <t>RR0816P-202-D</t>
  </si>
  <si>
    <t>https://www.digikey.com/product-detail/en/susumu/RR0816P-362-D/RR08P3-6KDTR-ND/432198</t>
  </si>
  <si>
    <t>RR0816P-362-D</t>
  </si>
  <si>
    <t>5K does not exist, only 4.99K</t>
  </si>
  <si>
    <t>4.99K</t>
  </si>
  <si>
    <t>https://www.digikey.com/product-detail/en/susumu/RR0816P-4991-D-68H/RR08P4-99KDTR-ND/432525</t>
  </si>
  <si>
    <t>RR0816P-4991-D-68H</t>
  </si>
  <si>
    <t>5.3K does not exist, only 4.36K</t>
  </si>
  <si>
    <t>5.36K</t>
  </si>
  <si>
    <t>https://www.digikey.com/product-detail/en/susumu/RR0816P-5361-D-71H/RR08P5-36KDTR-ND/676163</t>
  </si>
  <si>
    <t>RR0816P-5361-D-71H</t>
  </si>
  <si>
    <t>https://www.digikey.com/product-detail/en/susumu/RR0816P-5621-D-73H/RR08P5-62KDTR-ND/676165</t>
  </si>
  <si>
    <t>RR0816P-5621-D-73H</t>
  </si>
  <si>
    <t>https://www.digikey.com/product-detail/en/susumu/RR0816P-113-D/RR08P11-0KDTR-ND/432210</t>
  </si>
  <si>
    <t>RR0816P-113-D</t>
  </si>
  <si>
    <t>https://www.digikey.com/product-detail/en/susumu/RR0816P-243-D/RR08P24-0KDTR-ND/432218</t>
  </si>
  <si>
    <t>RR0816P-243-D</t>
  </si>
  <si>
    <t>https://www.digikey.com/product-detail/en/susumu/RR0816P-333-D/RR08P33-0KDTR-ND/432221</t>
  </si>
  <si>
    <t>RR0816P-333-D</t>
  </si>
  <si>
    <t>https://www.digikey.com/product-detail/en/susumu/RR0816P-104-D/RR08P100KDTR-ND/432233</t>
  </si>
  <si>
    <t>RR0816P-104-D</t>
  </si>
  <si>
    <t>https://www.digikey.com/product-detail/en/susumu/RR0816P-154-D/RR08P150KDTR-ND/432237</t>
  </si>
  <si>
    <t>RR0816P-154-D</t>
  </si>
  <si>
    <t>https://www.digikey.com/product-detail/en/susumu/RR0816P-224-D/RR08P220KDTR-ND/432241</t>
  </si>
  <si>
    <t>RR0816P-224-D</t>
  </si>
  <si>
    <t>https://www.digikey.com/product-detail/en/susumu/RR0816P-334-D/RR08P330KDTR-ND/432245</t>
  </si>
  <si>
    <t>RR0816P-334-D</t>
  </si>
  <si>
    <t>https://www.digikey.com/product-detail/en/susumu/RR0816P-561-D/RR08P560DTR-ND/432179</t>
  </si>
  <si>
    <t>https://www.digikey.com/product-detail/en/susumu/RR0816P-471-D/RR08P470DTR-ND/432177</t>
  </si>
  <si>
    <t>90 does not exist so we go to 90.9</t>
  </si>
  <si>
    <t>https://www.digikey.com/product-detail/en/susumu/RG1608P-90R9-D-T5/RG1608P-90R9-D-T5-ND/1262337</t>
  </si>
  <si>
    <r>
      <t>R</t>
    </r>
    <r>
      <rPr>
        <sz val="11"/>
        <color theme="9"/>
        <rFont val="Calibri"/>
        <family val="2"/>
        <scheme val="minor"/>
      </rPr>
      <t>G</t>
    </r>
    <r>
      <rPr>
        <sz val="11"/>
        <color theme="1"/>
        <rFont val="Calibri"/>
        <family val="2"/>
        <scheme val="minor"/>
      </rPr>
      <t>1608P-90R9-D-T5</t>
    </r>
  </si>
  <si>
    <t>https://www.digikey.com/product-detail/en/stackpole-electronics-inc/RNCF0603DTE470K/RNCF0603DTE470K-ND/6264259</t>
  </si>
  <si>
    <t>stackpole</t>
  </si>
  <si>
    <t>https://www.digikey.com/product-detail/en/stackpole-electronics-inc/RNCF0603DTE732K/RNCF0603DTE732K-ND/6264282</t>
  </si>
  <si>
    <r>
      <rPr>
        <sz val="11"/>
        <color theme="9"/>
        <rFont val="Calibri"/>
        <family val="2"/>
        <scheme val="minor"/>
      </rPr>
      <t>RNCF</t>
    </r>
    <r>
      <rPr>
        <sz val="11"/>
        <color theme="1"/>
        <rFont val="Calibri"/>
        <family val="2"/>
        <scheme val="minor"/>
      </rPr>
      <t>0603DTE732K</t>
    </r>
  </si>
  <si>
    <r>
      <rPr>
        <sz val="11"/>
        <color theme="9"/>
        <rFont val="Calibri"/>
        <family val="2"/>
        <scheme val="minor"/>
      </rPr>
      <t>RNCF</t>
    </r>
    <r>
      <rPr>
        <sz val="11"/>
        <color theme="1"/>
        <rFont val="Calibri"/>
        <family val="2"/>
        <scheme val="minor"/>
      </rPr>
      <t>0603DTE470K</t>
    </r>
  </si>
  <si>
    <t>Ma2-73,100</t>
  </si>
  <si>
    <t>Ma2-73,150</t>
  </si>
  <si>
    <t>Ma2-73,294</t>
  </si>
  <si>
    <t>Ma2-73,470</t>
  </si>
  <si>
    <t>Ma2-73,560</t>
  </si>
  <si>
    <t>Ma2-73,715</t>
  </si>
  <si>
    <t>Ma2-73,820</t>
  </si>
  <si>
    <t>Ma2-73,910</t>
  </si>
  <si>
    <t>Ma2-74,100</t>
  </si>
  <si>
    <t>Ma2-74,174</t>
  </si>
  <si>
    <t>Ma2-74,200</t>
  </si>
  <si>
    <t>Ma2-74,360</t>
  </si>
  <si>
    <t>Ma2-74,499</t>
  </si>
  <si>
    <t>Ma2-74,562</t>
  </si>
  <si>
    <t>Ma2-75,510</t>
  </si>
  <si>
    <t>Ma2-75,511</t>
  </si>
  <si>
    <t>Ma2-75,524</t>
  </si>
  <si>
    <t>Ma2-75,533</t>
  </si>
  <si>
    <t>Ma2-75,610</t>
  </si>
  <si>
    <t>Ma2-75,615</t>
  </si>
  <si>
    <t>Ma2-75,622</t>
  </si>
  <si>
    <t>Ma2-75,633</t>
  </si>
  <si>
    <t>Ma2-75,647</t>
  </si>
  <si>
    <t>Ma2-75,673</t>
  </si>
  <si>
    <t>MOSFET: N-ch DMN6075S 60V 85mOhm SOT23</t>
  </si>
  <si>
    <t>MOSFET: N-ch DMG2302UK 20V 90mOhm SOT23</t>
  </si>
  <si>
    <t>MOSFET: N/P Array DMC3400SDW 30V 500mOhm SOT363</t>
  </si>
  <si>
    <t>MOSFET: N-ch BSS123L 100V 6ohm SOT23</t>
  </si>
  <si>
    <t>MOSFET: P-ch BSR92PH 250V 20ohm SOT23</t>
  </si>
  <si>
    <t>MOSFET: P-ch BSS84PH 60V 8ohm SOT23</t>
  </si>
  <si>
    <t>MOSFET: N-ch STB36N60M6, 600V 30A 100mOhm D2PAK</t>
  </si>
  <si>
    <t>Ind: 1.3uH 18A 2.3mOhm 12x10x6mm</t>
  </si>
  <si>
    <t>Ind: 10uH 4A 18mOhm 10x10x5mm</t>
  </si>
  <si>
    <t>Ind: 15uH 1.6A 0.12ohm 6x6x3mm</t>
  </si>
  <si>
    <t>Ind: 33uH 0.4A 0.7ohm 4x4x1mm</t>
  </si>
  <si>
    <t>Ind: 33uH 1.1A 0.3ohm 6x6x3mm</t>
  </si>
  <si>
    <t>Ind: 56uH 4A 56mOhm 13x12x7mm</t>
  </si>
  <si>
    <t>Ind: 100uH 0.3A 1.7ohm 4x4x2mm</t>
  </si>
  <si>
    <t>Ind: 470uH 0.6A 0.8ohm 12x12x6mm</t>
  </si>
  <si>
    <t>ResTF: 90.9ohm 75V 0.5% .06W 25ppm 0603</t>
  </si>
  <si>
    <t>ResTF: 100ohm 75V 0.5% .06W 25ppm 0603</t>
  </si>
  <si>
    <t>ResTF: 150ohm 75V 0.5% .06W 25ppm 0603</t>
  </si>
  <si>
    <t>ResTF: 294ohm 75V 0.5% .06W 25ppm 0603</t>
  </si>
  <si>
    <t>ResTF: 470ohm 75V 0.5% .06W 25ppm 0603</t>
  </si>
  <si>
    <t>ResTF: 560ohm 75V 0.5% .06W 25ppm 0603</t>
  </si>
  <si>
    <t>ResTF: 715ohm 75V 0.5% .06W 25ppm 0603</t>
  </si>
  <si>
    <t>ResTF: 820ohm 75V 0.5% .06W 25ppm 0603</t>
  </si>
  <si>
    <t>ResTF: 910ohm 75V 0.5% .06W 25ppm 0603</t>
  </si>
  <si>
    <t>ResTF: 1Kohm 75V 0.5% .06W 25ppm 0603</t>
  </si>
  <si>
    <t>ResTF: 1.74Kohm 75V 0.5% .06W 25ppm 0603</t>
  </si>
  <si>
    <t>ResTF: 2Kohm 75V 0.5% .06W 25ppm 0603</t>
  </si>
  <si>
    <t>ResTF: 3.6Kohm 75V 0.5% .06W 25ppm 0603</t>
  </si>
  <si>
    <t>ResTF: 4.99Kohm 75V 0.5% .06W 25ppm 0603</t>
  </si>
  <si>
    <t>ResTF: 5.36Kohm 75V 0.5% .06W 25ppm 0603</t>
  </si>
  <si>
    <t>ResTF: 5.62Kohm 75V 0.5% .06W 25ppm 0603</t>
  </si>
  <si>
    <t>ResTF: 10Kohm 75V 0.5% .06W 25ppm 0603</t>
  </si>
  <si>
    <t>ResTF: 11Kohm 75V 0.5% .06W 25ppm 0603</t>
  </si>
  <si>
    <t>ResTF: 24Kohm 75V 0.5% .06W 25ppm 0603</t>
  </si>
  <si>
    <t>ResTF: 33Kohm 75V 0.5% .06W 25ppm 0603</t>
  </si>
  <si>
    <t>ResTF: 100Kohm 75V 0.5% .06W 25ppm 0603</t>
  </si>
  <si>
    <t>ResTF: 150Kohm 75V 0.5% .06W 25ppm 0603</t>
  </si>
  <si>
    <t>ResTF: 220Kohm 75V 0.5% .06W 25ppm 0603</t>
  </si>
  <si>
    <t>ResTF: 330Kohm 75V 0.5% .06W 25ppm 0603</t>
  </si>
  <si>
    <t>ResTF: 470Kohm 75V 0.5% .06W 25ppm 0603</t>
  </si>
  <si>
    <t>ResTF: 732Kohm 75V 0.5% .06W 25ppm 0603</t>
  </si>
  <si>
    <r>
      <t xml:space="preserve">ResTF: 30Kohm 75V </t>
    </r>
    <r>
      <rPr>
        <sz val="11"/>
        <color theme="5"/>
        <rFont val="Calibri"/>
        <family val="2"/>
        <scheme val="minor"/>
      </rPr>
      <t>0.1</t>
    </r>
    <r>
      <rPr>
        <sz val="11"/>
        <color theme="1"/>
        <rFont val="Calibri"/>
        <family val="2"/>
        <scheme val="minor"/>
      </rPr>
      <t xml:space="preserve">% .06W </t>
    </r>
    <r>
      <rPr>
        <sz val="11"/>
        <color theme="5"/>
        <rFont val="Calibri"/>
        <family val="2"/>
        <scheme val="minor"/>
      </rPr>
      <t>10</t>
    </r>
    <r>
      <rPr>
        <sz val="11"/>
        <color theme="1"/>
        <rFont val="Calibri"/>
        <family val="2"/>
        <scheme val="minor"/>
      </rPr>
      <t xml:space="preserve">ppm </t>
    </r>
    <r>
      <rPr>
        <sz val="11"/>
        <color theme="5"/>
        <rFont val="Calibri"/>
        <family val="2"/>
        <scheme val="minor"/>
      </rPr>
      <t>0603</t>
    </r>
  </si>
  <si>
    <r>
      <t xml:space="preserve">ResTF: 2.7Mohm 150V </t>
    </r>
    <r>
      <rPr>
        <sz val="11"/>
        <color theme="9"/>
        <rFont val="Calibri"/>
        <family val="2"/>
        <scheme val="minor"/>
      </rPr>
      <t>0.1%</t>
    </r>
    <r>
      <rPr>
        <sz val="11"/>
        <color theme="1"/>
        <rFont val="Calibri"/>
        <family val="2"/>
        <scheme val="minor"/>
      </rPr>
      <t xml:space="preserve"> .1W </t>
    </r>
    <r>
      <rPr>
        <sz val="11"/>
        <color theme="9"/>
        <rFont val="Calibri"/>
        <family val="2"/>
        <scheme val="minor"/>
      </rPr>
      <t>25</t>
    </r>
    <r>
      <rPr>
        <sz val="11"/>
        <color theme="1"/>
        <rFont val="Calibri"/>
        <family val="2"/>
        <scheme val="minor"/>
      </rPr>
      <t xml:space="preserve">ppm </t>
    </r>
    <r>
      <rPr>
        <sz val="11"/>
        <color theme="9"/>
        <rFont val="Calibri"/>
        <family val="2"/>
        <scheme val="minor"/>
      </rPr>
      <t>0805</t>
    </r>
  </si>
  <si>
    <r>
      <t xml:space="preserve">ResTF: 1Mohm 150V 0.5% .12W 25ppm </t>
    </r>
    <r>
      <rPr>
        <sz val="11"/>
        <color theme="9"/>
        <rFont val="Calibri"/>
        <family val="2"/>
        <scheme val="minor"/>
      </rPr>
      <t>1206</t>
    </r>
  </si>
  <si>
    <t>Res: 1ohm 75V 1% .06W 100ppm 0603</t>
  </si>
  <si>
    <t>Res: 3.3ohm 75V 1% .06W 100ppm 0603</t>
  </si>
  <si>
    <t>Res: 4.7ohm 75V 1% .06W 100ppm 0603</t>
  </si>
  <si>
    <t>Res: 10ohm 75V 1% .06W 100ppm 0603</t>
  </si>
  <si>
    <t>Res: 33ohm 75V 1% .06W 100ppm 0603</t>
  </si>
  <si>
    <t>Res: 62ohm 75V 1% .06W 100ppm 0603</t>
  </si>
  <si>
    <t>Res: 100ohm 75V 1% .06W 100ppm 0603</t>
  </si>
  <si>
    <t>Res: 220ohm 75V 1% .06W 100ppm 0603</t>
  </si>
  <si>
    <t>Res: 2.2Kohm 75V 1% .06W 100ppm 0603</t>
  </si>
  <si>
    <t>Res: 3.9Kohm 75V 1% .06W 100ppm 0603</t>
  </si>
  <si>
    <t>Res: 49.9Kohm 75V 1% .06W 100ppm 0603</t>
  </si>
  <si>
    <t>Res: 100Kohm 75V 1% .06W 100ppm 0603</t>
  </si>
  <si>
    <t>Res: 220Kohm 75V 1% .06W 100ppm 0603</t>
  </si>
  <si>
    <t>Res: 1Mohm 75V 1% .06W 100ppm 0603</t>
  </si>
  <si>
    <r>
      <t xml:space="preserve">Res: 100Kohm 150V 1% .1W 100ppm </t>
    </r>
    <r>
      <rPr>
        <sz val="11"/>
        <color theme="9"/>
        <rFont val="Calibri"/>
        <family val="2"/>
        <scheme val="minor"/>
      </rPr>
      <t>0805</t>
    </r>
  </si>
  <si>
    <r>
      <t xml:space="preserve">Res: 330Kohm 150V 1% .1W 100ppm </t>
    </r>
    <r>
      <rPr>
        <sz val="11"/>
        <color theme="9"/>
        <rFont val="Calibri"/>
        <family val="2"/>
        <scheme val="minor"/>
      </rPr>
      <t>0805</t>
    </r>
  </si>
  <si>
    <r>
      <t xml:space="preserve">Res: 1Mohm 150V 1% .1W 100ppm </t>
    </r>
    <r>
      <rPr>
        <sz val="11"/>
        <color theme="9"/>
        <rFont val="Calibri"/>
        <family val="2"/>
        <scheme val="minor"/>
      </rPr>
      <t>0805</t>
    </r>
  </si>
  <si>
    <r>
      <t xml:space="preserve">Res: 22Mohm 150V 1% .1W </t>
    </r>
    <r>
      <rPr>
        <sz val="11"/>
        <color theme="9"/>
        <rFont val="Calibri"/>
        <family val="2"/>
        <scheme val="minor"/>
      </rPr>
      <t>200</t>
    </r>
    <r>
      <rPr>
        <sz val="11"/>
        <color theme="1"/>
        <rFont val="Calibri"/>
        <family val="2"/>
        <scheme val="minor"/>
      </rPr>
      <t xml:space="preserve">ppm </t>
    </r>
    <r>
      <rPr>
        <sz val="11"/>
        <color theme="9"/>
        <rFont val="Calibri"/>
        <family val="2"/>
        <scheme val="minor"/>
      </rPr>
      <t>0805</t>
    </r>
  </si>
  <si>
    <r>
      <t xml:space="preserve">Res: 1.5ohm 200V 1% .25W </t>
    </r>
    <r>
      <rPr>
        <sz val="11"/>
        <color theme="9"/>
        <rFont val="Calibri"/>
        <family val="2"/>
        <scheme val="minor"/>
      </rPr>
      <t>200</t>
    </r>
    <r>
      <rPr>
        <sz val="11"/>
        <color theme="1"/>
        <rFont val="Calibri"/>
        <family val="2"/>
        <scheme val="minor"/>
      </rPr>
      <t xml:space="preserve">ppm </t>
    </r>
    <r>
      <rPr>
        <sz val="11"/>
        <color theme="9"/>
        <rFont val="Calibri"/>
        <family val="2"/>
        <scheme val="minor"/>
      </rPr>
      <t>1206</t>
    </r>
  </si>
  <si>
    <r>
      <t xml:space="preserve">Res: 33Kohm 200V 1% .25W </t>
    </r>
    <r>
      <rPr>
        <sz val="11"/>
        <rFont val="Calibri"/>
        <family val="2"/>
        <scheme val="minor"/>
      </rPr>
      <t>100ppm</t>
    </r>
    <r>
      <rPr>
        <sz val="11"/>
        <color theme="1"/>
        <rFont val="Calibri"/>
        <family val="2"/>
        <scheme val="minor"/>
      </rPr>
      <t xml:space="preserve"> </t>
    </r>
    <r>
      <rPr>
        <sz val="11"/>
        <color theme="9"/>
        <rFont val="Calibri"/>
        <family val="2"/>
        <scheme val="minor"/>
      </rPr>
      <t>1206</t>
    </r>
  </si>
  <si>
    <r>
      <t xml:space="preserve">Res: 100Kohm 200V 1% .25W </t>
    </r>
    <r>
      <rPr>
        <sz val="11"/>
        <rFont val="Calibri"/>
        <family val="2"/>
        <scheme val="minor"/>
      </rPr>
      <t>100ppm</t>
    </r>
    <r>
      <rPr>
        <sz val="11"/>
        <color theme="1"/>
        <rFont val="Calibri"/>
        <family val="2"/>
        <scheme val="minor"/>
      </rPr>
      <t xml:space="preserve"> </t>
    </r>
    <r>
      <rPr>
        <sz val="11"/>
        <color theme="9"/>
        <rFont val="Calibri"/>
        <family val="2"/>
        <scheme val="minor"/>
      </rPr>
      <t>1206</t>
    </r>
  </si>
  <si>
    <r>
      <t xml:space="preserve">Res: 1.5Mohm </t>
    </r>
    <r>
      <rPr>
        <sz val="11"/>
        <color theme="9"/>
        <rFont val="Calibri"/>
        <family val="2"/>
        <scheme val="minor"/>
      </rPr>
      <t>150V</t>
    </r>
    <r>
      <rPr>
        <sz val="11"/>
        <color theme="1"/>
        <rFont val="Calibri"/>
        <family val="2"/>
        <scheme val="minor"/>
      </rPr>
      <t xml:space="preserve"> 1% .12W 100ppm </t>
    </r>
    <r>
      <rPr>
        <sz val="11"/>
        <color theme="9"/>
        <rFont val="Calibri"/>
        <family val="2"/>
        <scheme val="minor"/>
      </rPr>
      <t>1206</t>
    </r>
  </si>
  <si>
    <t>Ma2-73,909</t>
  </si>
  <si>
    <t>Ma2-74,536</t>
  </si>
  <si>
    <t>Ma2-77,530</t>
  </si>
  <si>
    <t>Ma2-78,727</t>
  </si>
  <si>
    <t>Ma2-79,533</t>
  </si>
  <si>
    <t>Ma2-89,710</t>
  </si>
  <si>
    <t>Ma2-90,110</t>
  </si>
  <si>
    <t>Ma2-90,133</t>
  </si>
  <si>
    <t>Ma2-90,147</t>
  </si>
  <si>
    <t>Ma2-90,210</t>
  </si>
  <si>
    <t>Ma2-90,233</t>
  </si>
  <si>
    <t>Ma2-90,262</t>
  </si>
  <si>
    <t>Ma2-90,310</t>
  </si>
  <si>
    <t>Ma2-90,322</t>
  </si>
  <si>
    <t>Ma2-90,422</t>
  </si>
  <si>
    <t>Ma2-90,439</t>
  </si>
  <si>
    <t>Ma2-90,610</t>
  </si>
  <si>
    <t>Ma2-90,622</t>
  </si>
  <si>
    <t>Ma2-90,710</t>
  </si>
  <si>
    <t>Ma2-91,610</t>
  </si>
  <si>
    <t>Ma2-91,633</t>
  </si>
  <si>
    <t>Ma2-91,710</t>
  </si>
  <si>
    <t>Ma2-91,822</t>
  </si>
  <si>
    <t>Ma2-92,115</t>
  </si>
  <si>
    <t>Ma2-92,533</t>
  </si>
  <si>
    <t>Ma2-92,610</t>
  </si>
  <si>
    <t>Ma2-92,715</t>
  </si>
  <si>
    <t>Ma2-94,051</t>
  </si>
  <si>
    <t>Ma2-95,011</t>
  </si>
  <si>
    <t>Ma2-90,000</t>
  </si>
  <si>
    <t>Ma2-92,000</t>
  </si>
  <si>
    <t>Ma2-96,122</t>
  </si>
  <si>
    <t>Ma2-96,133</t>
  </si>
  <si>
    <t>Ma2-96,310</t>
  </si>
  <si>
    <t>Ma2-96,375</t>
  </si>
  <si>
    <t>Ma2-96,410</t>
  </si>
  <si>
    <t>Ma2-96,439</t>
  </si>
  <si>
    <t>Ma2-96,447</t>
  </si>
  <si>
    <t>Ma2-96,510</t>
  </si>
  <si>
    <t>Ma2-96,522</t>
  </si>
  <si>
    <t>Ma2-96,533</t>
  </si>
  <si>
    <t>Ma2-96,547</t>
  </si>
  <si>
    <t>Ma2-96,610</t>
  </si>
  <si>
    <t>Ma2-96,615</t>
  </si>
  <si>
    <t>Ma2-96,633</t>
  </si>
  <si>
    <t>Ma2-90,550</t>
  </si>
  <si>
    <t>Ma2-93,033</t>
  </si>
  <si>
    <t>Ma2-93,022</t>
  </si>
  <si>
    <t>Ma2-94,010</t>
  </si>
  <si>
    <r>
      <t xml:space="preserve">&lt;1Ω 5% .06W 300ppm </t>
    </r>
    <r>
      <rPr>
        <sz val="11"/>
        <color theme="9"/>
        <rFont val="Calibri"/>
        <family val="2"/>
        <scheme val="minor"/>
      </rPr>
      <t>0603</t>
    </r>
  </si>
  <si>
    <r>
      <t xml:space="preserve">&lt;1Ω 5% .12W 300ppm </t>
    </r>
    <r>
      <rPr>
        <sz val="11"/>
        <color theme="9"/>
        <rFont val="Calibri"/>
        <family val="2"/>
        <scheme val="minor"/>
      </rPr>
      <t>0805</t>
    </r>
  </si>
  <si>
    <r>
      <t xml:space="preserve">&lt;1Ω 1% 3W 75ppm </t>
    </r>
    <r>
      <rPr>
        <sz val="11"/>
        <color theme="9"/>
        <rFont val="Calibri"/>
        <family val="2"/>
        <scheme val="minor"/>
      </rPr>
      <t>2512</t>
    </r>
  </si>
  <si>
    <r>
      <t xml:space="preserve">5% .06W 25V </t>
    </r>
    <r>
      <rPr>
        <sz val="11"/>
        <color theme="9"/>
        <rFont val="Calibri"/>
        <family val="2"/>
        <scheme val="minor"/>
      </rPr>
      <t>Res4</t>
    </r>
    <r>
      <rPr>
        <sz val="11"/>
        <color theme="6"/>
        <rFont val="Calibri"/>
        <family val="2"/>
        <scheme val="minor"/>
      </rPr>
      <t xml:space="preserve"> 0804 Convex</t>
    </r>
  </si>
  <si>
    <t>Res4: 2.2ohm 50V 5% .06W 1206vex</t>
  </si>
  <si>
    <t>Res4: 3.3ohm 50V 5% .06W 1206vex</t>
  </si>
  <si>
    <t>Res4: 100ohm 50V 5% .06W 1206vex</t>
  </si>
  <si>
    <t>Res4: 750ohm 50V 5% .06W 1206vex</t>
  </si>
  <si>
    <t>Res4: 1Kohm 50V 5% .06W 1206vex</t>
  </si>
  <si>
    <t>Res4: 3.9Kohm 50V 5% .06W 1206vex</t>
  </si>
  <si>
    <t>Res4: 4.7Kohm 50V 5% .06W 1206vex</t>
  </si>
  <si>
    <t>Res4: 10Kohm 50V 5% .06W 1206vex</t>
  </si>
  <si>
    <t>Res4: 22Kohm 50V 5% .06W 1206vex</t>
  </si>
  <si>
    <t>Res4: 33Kohm 50V 5% .06W 1206vex</t>
  </si>
  <si>
    <t>Res4: 47Kohm 50V 5% .06W 1206vex</t>
  </si>
  <si>
    <t>Res4: 100Kohm 50V 5% .06W 1206vex</t>
  </si>
  <si>
    <t>Res4: 150Kohm 50V 5% .06W 1206vex</t>
  </si>
  <si>
    <t>Res4: 330Kohm 50V 5% .06W 1206vex</t>
  </si>
  <si>
    <t>RAVF164DJT2R20</t>
  </si>
  <si>
    <t>RAVF164DJT3R30</t>
  </si>
  <si>
    <t>RAVF164DJT100R</t>
  </si>
  <si>
    <t>RAVF164DJT750R</t>
  </si>
  <si>
    <t>RAVF164DJT1K00</t>
  </si>
  <si>
    <t>RAVF164DJT3K90</t>
  </si>
  <si>
    <t>RAVF164DJT4K70</t>
  </si>
  <si>
    <t>RAVF164DJT10K0</t>
  </si>
  <si>
    <t>RAVF164DJT22K0</t>
  </si>
  <si>
    <t>RAVF164DJT33K0</t>
  </si>
  <si>
    <t>RAVF164DJT47K0</t>
  </si>
  <si>
    <t>RAVF164DJT100K</t>
  </si>
  <si>
    <t>RAVF164DJT150K</t>
  </si>
  <si>
    <t>RAVF164DJT330K</t>
  </si>
  <si>
    <t>https://www.digikey.in/product-detail/en/stackpole-electronics-inc/RAVF164DJT2R20/RAVF164DJT2R20-ND/2416664</t>
  </si>
  <si>
    <t>rn_convex_8p_31m</t>
  </si>
  <si>
    <t>Ma2-12,247</t>
  </si>
  <si>
    <t>Ma2-12,310</t>
  </si>
  <si>
    <t>Ma2-13,410</t>
  </si>
  <si>
    <t>Ma2-13,510</t>
  </si>
  <si>
    <t>Ma2-14,422</t>
  </si>
  <si>
    <t>Ma2-14,647</t>
  </si>
  <si>
    <t>Ma2-15,610</t>
  </si>
  <si>
    <t>Ma2-15,710</t>
  </si>
  <si>
    <t>Ma2-15,722</t>
  </si>
  <si>
    <t>Ma2-15,723</t>
  </si>
  <si>
    <t>Ma2-15,810</t>
  </si>
  <si>
    <t>Ma2-15,811</t>
  </si>
  <si>
    <t>Ma2-15,812</t>
  </si>
  <si>
    <t>Ma2-47,113</t>
  </si>
  <si>
    <t>Ma2-47,210</t>
  </si>
  <si>
    <t>Ma2-47,215</t>
  </si>
  <si>
    <t>Ma2-47,233</t>
  </si>
  <si>
    <t>Ma2-47,234</t>
  </si>
  <si>
    <t>Ma2-47,256</t>
  </si>
  <si>
    <t>Ma2-47,310</t>
  </si>
  <si>
    <t>Ma2-47,347</t>
  </si>
  <si>
    <t>Ma2-12,103</t>
  </si>
  <si>
    <t>INDP118105X55N</t>
  </si>
  <si>
    <t>INDP105105X51</t>
  </si>
  <si>
    <t>INDP6565X51</t>
  </si>
  <si>
    <t>INDP4545X51</t>
  </si>
  <si>
    <t>INDP138129X51</t>
  </si>
  <si>
    <t>INDP2523X23N</t>
  </si>
  <si>
    <t>https://techdocs.altium.com/display/ADOH/Download+Libraries</t>
  </si>
  <si>
    <t>Download Altium 10 Libraries</t>
  </si>
  <si>
    <t>Download Altium 10 Libraries:</t>
  </si>
  <si>
    <t>Altium DXP Software</t>
  </si>
  <si>
    <t>Libraries</t>
  </si>
  <si>
    <t>Altium 10:</t>
  </si>
  <si>
    <t xml:space="preserve"> &lt;&lt; Download  Altium 10 Libraries</t>
  </si>
  <si>
    <t>https://www.nxp.com/design/software/models/microcontroller-symbols-footprints-and-models:MCUCAD</t>
  </si>
  <si>
    <t>Nexperia Libraries (nexperia was NXP)</t>
  </si>
  <si>
    <t>Footprint: https://www.infineon.com/cms/en/product/packages/PG-LQFP/PG-LQFP-64-26/#!downloads</t>
  </si>
  <si>
    <t>SOT-363-6-BigCorners</t>
  </si>
  <si>
    <t>DcDc-5 (I think my i60x footprint is ok here)</t>
  </si>
  <si>
    <t>https://www.analog.com/en/design-center/packaging-quality-symbols-footprints.html</t>
  </si>
  <si>
    <t>analog</t>
  </si>
  <si>
    <t>https://www.we-online.com/web/en/electronic_components/produkte_pb/bauteilebibliotheken/altium/altium.php</t>
  </si>
  <si>
    <t>Wurth Electronics Connectors and Passives Libraries</t>
  </si>
  <si>
    <t>https://app.ultralibrarian.com/content/help/?altium_designer.htm</t>
  </si>
  <si>
    <t>UltraLibrarian</t>
  </si>
  <si>
    <t>UCC27282DRCR</t>
  </si>
  <si>
    <t>SOT-563 (downloaded from Wurth Jul2020)</t>
  </si>
  <si>
    <t>Footprint: https://www.ti.com/lit/ds/symlink/lm76003.pdf?ts=1594841691099&amp;ref_url=https%253A%252F%252Fwww.ti.com%252Fstore%252Fti%252Fen%252Fp%252Fproduct%252F%253Fp%253DLM76003RNPR</t>
  </si>
  <si>
    <t>Footprint: https://www.ti.com/lit/ds/symlink/ucc27282.pdf?HQS=TI-null-null-digikeymode-df-pf-null-wwe&amp;ts=1594839756366</t>
  </si>
  <si>
    <t>10-VSON_3x3mm_Exposed_Pad (gsw created via ipc wizard jul2020, note that 4 pins are connected to large center pad and you need to add COPPER on pcb top layer to make this connection)</t>
  </si>
  <si>
    <t>(1) 30WQFN_GswIpcWizard_exposed_pad (gsw created via ipc wizard jul2020, note that 8 center sub-pads are connectd and you need to add COPPER on pcb top layer to make this connection),      (2) 30WQFN_UltraLibrarian_exposed_pad -- downloaded from Ultra Librarian jul2020</t>
  </si>
  <si>
    <t>Ma2-41,320</t>
  </si>
  <si>
    <t>Ma2-41,420</t>
  </si>
  <si>
    <t>Ma2-82,520</t>
  </si>
  <si>
    <t>Ma2-82,530</t>
  </si>
  <si>
    <t>Ma2-40,430</t>
  </si>
  <si>
    <t>Ma2-41,100</t>
  </si>
  <si>
    <t>Ma2-39,220</t>
  </si>
  <si>
    <t>Ma2-25,325</t>
  </si>
  <si>
    <t>Ma2-25,425</t>
  </si>
  <si>
    <t>Ma2-26,145</t>
  </si>
  <si>
    <t>Ma2-26,211</t>
  </si>
  <si>
    <t>Ma2-45,581</t>
  </si>
  <si>
    <t>Ma2-45,582</t>
  </si>
  <si>
    <t>Ma2-45,583</t>
  </si>
  <si>
    <t>Ma2-45,584</t>
  </si>
  <si>
    <t>Ma2-45,585</t>
  </si>
  <si>
    <t>Ma2-45,586</t>
  </si>
  <si>
    <t>Ma2-45,587</t>
  </si>
  <si>
    <t>Ma2-39,101</t>
  </si>
  <si>
    <t>Ma2-44,101</t>
  </si>
  <si>
    <t>Ma2-44,102</t>
  </si>
  <si>
    <t>Ma2-44,103</t>
  </si>
  <si>
    <t>Ma2-44,104</t>
  </si>
  <si>
    <t>Ma2-44,105</t>
  </si>
  <si>
    <t>Ma2-42,411</t>
  </si>
  <si>
    <t>Ma2-44,201</t>
  </si>
  <si>
    <t>Ma2-44,202</t>
  </si>
  <si>
    <t>Ma2-26,506</t>
  </si>
  <si>
    <t>Ma2-26,507</t>
  </si>
  <si>
    <t>Ma2-26,511</t>
  </si>
  <si>
    <t>Ma2-41,241</t>
  </si>
  <si>
    <t>Ma2-86,701</t>
  </si>
  <si>
    <t>Ma2-86,702</t>
  </si>
  <si>
    <t>Ma2-86,703</t>
  </si>
  <si>
    <t>Ma2-86,704</t>
  </si>
  <si>
    <t>Ma2-86,705</t>
  </si>
  <si>
    <t>Ma2-86,706</t>
  </si>
  <si>
    <t>Ma2-86,707</t>
  </si>
  <si>
    <t>Ma2-86,708</t>
  </si>
  <si>
    <t>Ma2-86,721</t>
  </si>
  <si>
    <t>Ma2-28,111</t>
  </si>
  <si>
    <t>Ma2-28,112</t>
  </si>
  <si>
    <t>Ma2-28,211</t>
  </si>
  <si>
    <t>Ma2-28,311</t>
  </si>
  <si>
    <t>Ma2-28,411</t>
  </si>
  <si>
    <t>Ma2-28,412</t>
  </si>
  <si>
    <t>Ma2-28,536</t>
  </si>
  <si>
    <t>Ma2-28,613</t>
  </si>
  <si>
    <t>Ma2-28,630</t>
  </si>
  <si>
    <t>Ma2-28,743</t>
  </si>
  <si>
    <t>AP2202K-ADJ_vReg</t>
  </si>
  <si>
    <t>vReg: AP2202K-ADJ 2% 150mA SOT23-5</t>
  </si>
  <si>
    <t>vReg: TLV70036DDCR 2% 3.6Vout 200mA SOT23-5</t>
  </si>
  <si>
    <t>TLV700xxDDC_vReg</t>
  </si>
  <si>
    <t>TL431_SOT-23-3_ShuntReg</t>
  </si>
  <si>
    <t>LM76003RNPR_SwitchingReg (downloaded from ultra-librarian july2020)</t>
  </si>
  <si>
    <t>TPS561201DDCR_SwitchingReg</t>
  </si>
  <si>
    <t>MOSFET Gate Driver</t>
  </si>
  <si>
    <t>UCC27282DRCR_MosfetGateDriver</t>
  </si>
  <si>
    <t>Datasheet: https://www.ti.com/lit/ds/symlink/ucc27282.pdf?HQS=TI-null-null-digikeymode-df-pf-null-wwe&amp;ts=1595023907844</t>
  </si>
  <si>
    <t>MAX6070BAUT33_vRef</t>
  </si>
  <si>
    <t>vRef: MAX6070BAUT33, 3.3Vout 0.08% 8ppmC max 10mA SOT23-6</t>
  </si>
  <si>
    <t>A-to-D: MCP3461TEST, 16bit, 150Ks-sec, prog gain, TSSOP-20</t>
  </si>
  <si>
    <t>MCP3461TEST_AtoD</t>
  </si>
  <si>
    <t>LMV794MAX_OpAmp_2x</t>
  </si>
  <si>
    <t>APX809_ResetIC</t>
  </si>
  <si>
    <t>TMP302xDRLR_TempMonitor</t>
  </si>
  <si>
    <t>TLC274 (AMP)</t>
  </si>
  <si>
    <t>OPAMP_OPA725_NO_SIM</t>
  </si>
  <si>
    <t>MAX4051</t>
  </si>
  <si>
    <t>74xx4051_Mux</t>
  </si>
  <si>
    <t>NLAST4599DTT_SPDT_MUX_1CH</t>
  </si>
  <si>
    <t>https://www.digikey.com/products/en/integrated-circuits-ics/interface-analog-switches-multiplexers-demultiplexers/747?k=NLAST4599DTT1G&amp;k=&amp;pkeyword=NLAST4599DTT1G&amp;sv=0&amp;pv7=1&amp;sf=0&amp;quantity=&amp;ColumnSort=0&amp;page=1&amp;pageSize=25</t>
  </si>
  <si>
    <t>SOT-363-6-BigCorners (same as SC-70-6)</t>
  </si>
  <si>
    <t>LM339_Comparators_4x</t>
  </si>
  <si>
    <t>TLV1805DBVR_Comparator_1x</t>
  </si>
  <si>
    <t>Dc-Dc-1in-1out</t>
  </si>
  <si>
    <t>SO-8_AnalogDevices_Ri8-1 (similar to SO-8 yet 10.5mm wide)</t>
  </si>
  <si>
    <t>ADM3050EBRIZ-RL (1500 qty Reel, SO-8-Wide),        ADM3050EBRIZ (50 qty Tube, SO-8-Wide),         Note that ADM3050EBRWZ is a Different package that is Not helpful</t>
  </si>
  <si>
    <t>ADM3050EBRIZ_CanBusIsolatedTcvr</t>
  </si>
  <si>
    <t>CANBus Tcvr: ADM3050EBRIZ Isolated 1500V So8-10mmWide</t>
  </si>
  <si>
    <t>Opto Cplr: 2ch NPN ELD217 3KV 5nS 100% ctr SO8</t>
  </si>
  <si>
    <t>TLV2333IDR</t>
  </si>
  <si>
    <t>ELD217_OptoCoupler_2x</t>
  </si>
  <si>
    <t>MOSFET-N-SOT23</t>
  </si>
  <si>
    <t>MOSFET: N-ch DMT10H009 100V 8mOhm PowerTDFN8</t>
  </si>
  <si>
    <t>MOSFET-N-PowerTDFN8</t>
  </si>
  <si>
    <t>D2PAK-T-2__Pins1-2-3_TabIs_P3 (tab is pin 3 = DRAIN)</t>
  </si>
  <si>
    <t>MOSFET-N-SOT23_or_D2Pak_ZenerProtection</t>
  </si>
  <si>
    <t>MOSFET-P-SOT23</t>
  </si>
  <si>
    <t>MOSFET-N-P-2ch-SOT363</t>
  </si>
  <si>
    <t>BC847BS_NPN_2ch_Tranistor_Sot363</t>
  </si>
  <si>
    <t>ZENAR_SOT23_1A-3C</t>
  </si>
  <si>
    <t>SOD123_Diode_C1_A2 (3.7 x 1.7mm)</t>
  </si>
  <si>
    <t>DIODE_SCHOTTKEY_1x_SOD123_1C-2A</t>
  </si>
  <si>
    <t>DIODE, 3PIN, 3=C, 1=A</t>
  </si>
  <si>
    <t>BAV99,235 (10k reel, Nexperia, SOT-23-3, not 99S, not 99W),             BAV99,215 (3k reel nexperia)</t>
  </si>
  <si>
    <t>DIODE_2x_SOT23_1A_2C_3Center  (not shottkey, regular diode)</t>
  </si>
  <si>
    <t>DIODE_2x_SOT23_SCHOTTKEY_1A_2C_3Center  (schottkey, not regular diode)</t>
  </si>
  <si>
    <t>D3_ISO_SOT363-6</t>
  </si>
  <si>
    <t>SOD123_Diode_C1_A2 (This part is 1.9mm wide instead of 1.7mm wide, yet this footprint is ok with either of these widths)</t>
  </si>
  <si>
    <t>https://docs.google.com/spreadsheets/d/1sgDW-8eoTo4glfP0dJCbg676ALxEgeHz9X16fRa1cks/edit#gid=0</t>
  </si>
  <si>
    <t>Cephas Kalembo, Zambia</t>
  </si>
  <si>
    <t>RES_1x</t>
  </si>
  <si>
    <t>LM2664M6X_ChgPump</t>
  </si>
  <si>
    <t>on parts.sch</t>
  </si>
  <si>
    <t>Array</t>
  </si>
  <si>
    <t>Gate Driver: UCC27282DRCR Half Bridge 120V 2.5A VSON10</t>
  </si>
  <si>
    <t>https://www.digikey.com/product-detail/en/texas-instruments/LM5163QDDARQ1/296-53561-2-ND/10273203</t>
  </si>
  <si>
    <t>LM5163QDDARQ1</t>
  </si>
  <si>
    <t>Switch vReg: LM5163Q1, 100Vin 0.6Aout SO8PowerPad</t>
  </si>
  <si>
    <t>SO-8_TiPowerPad (created via UltraLibrarian Jul2020)</t>
  </si>
  <si>
    <t>Ma2-44,106</t>
  </si>
  <si>
    <t>https://www.ti.com/product/LM321LV?qgpn=lm321lv#design-development</t>
  </si>
  <si>
    <t>https://www.digikey.com/product-detail/en/texas-instruments/LM324APWRG4/296-41302-2-ND/1510170</t>
  </si>
  <si>
    <t>https://www.digikey.com/product-detail/en/texas-instruments/LMV321AUIDBVR/296-LMV321AUIDBVRTR-ND/11570506</t>
  </si>
  <si>
    <t>LMV324AIPWR (TI,  2k reel, TSSOP14, $0.13)              (Not "LM324", we need "LMV324")</t>
  </si>
  <si>
    <t>LM324L (LM, not LMV)</t>
  </si>
  <si>
    <t>this does not work well in simulation, use LMV instead of LM</t>
  </si>
  <si>
    <t>LMV324A (4ch), LMV321A (1ch), LMV358A (2ch)      This is "LMV", not "LM".</t>
  </si>
  <si>
    <t>LM5163QDDARQ1_SwitchingVReg</t>
  </si>
  <si>
    <t>https://www.digikey.com/product-detail/en/on-semiconductor/BC856BLT3G/BC856BLT3GOSTR-ND/1476062</t>
  </si>
  <si>
    <t>BC856BLT3G</t>
  </si>
  <si>
    <t>BC856B, PNP, SOT23, 365V, 100mA, hFE=110, $0.02</t>
  </si>
  <si>
    <t>110mn @ 2mA</t>
  </si>
  <si>
    <t>60mn @ 1mA</t>
  </si>
  <si>
    <t>Ma2-86,722</t>
  </si>
  <si>
    <t>micro com</t>
  </si>
  <si>
    <t>Trans: 1ch PNP MMBTA92 300V 300mA 300mW 100hFE SOT23</t>
  </si>
  <si>
    <t>Trans: 2ch NPN BC847 45V 100mA 200mW 200hFE SOT363</t>
  </si>
  <si>
    <t>MMBTA92-TP (3k qty is $0.035 at digi, 10k qty is $0.03)</t>
  </si>
  <si>
    <t>MMBTA92_PNP_Tranistor_Sot23</t>
  </si>
  <si>
    <t>PCB Footprint</t>
  </si>
  <si>
    <t>Ma2-75,520</t>
  </si>
  <si>
    <t>ResTF: 20Kohm 75V 0.5% .06W 25ppm 0603</t>
  </si>
  <si>
    <t>https://www.digikey.com/product-detail/en/susumu/RR0816P-203-D/RR08P20-0KDTR-ND/432216</t>
  </si>
  <si>
    <t>RR0816P-203-D</t>
  </si>
  <si>
    <t>Res: 56Kohm 75V 1% .06W 100ppm 0603</t>
  </si>
  <si>
    <t>https://www.digikey.com/product-detail/en/stackpole-electronics-inc/RMCF0603FT56K0/RMCF0603FT56K0TR-ND/1760897</t>
  </si>
  <si>
    <t>56K</t>
  </si>
  <si>
    <t>Ma2-90,556</t>
  </si>
  <si>
    <t>RMCF0603FT56K0 (5K reel, 100ppm/C, 1%, 0603)</t>
  </si>
  <si>
    <t>Rated Amps 1206</t>
  </si>
  <si>
    <t>Rated Amps 0805</t>
  </si>
  <si>
    <t>Rated Amps 0603</t>
  </si>
  <si>
    <t>https://www.seielect.com/catalog/sei-rmcf_rmcp.pdf</t>
  </si>
  <si>
    <t>https://www.yageo.com/upload/media/product/productsearch/datasheet/rchip/PYu-RC_Group_51_RoHS_L_11.pdf</t>
  </si>
  <si>
    <t>Stackpole RMCP..</t>
  </si>
  <si>
    <t>Yageo RC..</t>
  </si>
  <si>
    <t>Max  mΩ</t>
  </si>
  <si>
    <t>W @ Max mΩ 1206</t>
  </si>
  <si>
    <t>W @ Max mΩ 0603</t>
  </si>
  <si>
    <t>W @ Max mΩ 0805</t>
  </si>
  <si>
    <t>https://www.vishay.com/docs/20035/dcrcwe3.pdf</t>
  </si>
  <si>
    <t>Vishay CRCW..</t>
  </si>
  <si>
    <r>
      <t xml:space="preserve">Res: 220mOhm </t>
    </r>
    <r>
      <rPr>
        <sz val="11"/>
        <color theme="9"/>
        <rFont val="Calibri"/>
        <family val="2"/>
        <scheme val="minor"/>
      </rPr>
      <t>5%</t>
    </r>
    <r>
      <rPr>
        <sz val="11"/>
        <color theme="1"/>
        <rFont val="Calibri"/>
        <family val="2"/>
        <scheme val="minor"/>
      </rPr>
      <t xml:space="preserve"> .06W .5A 300ppm</t>
    </r>
    <r>
      <rPr>
        <sz val="11"/>
        <color theme="9"/>
        <rFont val="Calibri"/>
        <family val="2"/>
        <scheme val="minor"/>
      </rPr>
      <t xml:space="preserve"> 0603</t>
    </r>
  </si>
  <si>
    <r>
      <t xml:space="preserve">Res: 330mOhm </t>
    </r>
    <r>
      <rPr>
        <sz val="11"/>
        <color theme="9"/>
        <rFont val="Calibri"/>
        <family val="2"/>
        <scheme val="minor"/>
      </rPr>
      <t>5%</t>
    </r>
    <r>
      <rPr>
        <sz val="11"/>
        <color theme="1"/>
        <rFont val="Calibri"/>
        <family val="2"/>
        <scheme val="minor"/>
      </rPr>
      <t xml:space="preserve"> .06W .4A 300ppm </t>
    </r>
    <r>
      <rPr>
        <sz val="11"/>
        <color theme="9"/>
        <rFont val="Calibri"/>
        <family val="2"/>
        <scheme val="minor"/>
      </rPr>
      <t>0603</t>
    </r>
  </si>
  <si>
    <r>
      <t xml:space="preserve">Res: 5mOhm </t>
    </r>
    <r>
      <rPr>
        <sz val="11"/>
        <color theme="9"/>
        <rFont val="Calibri"/>
        <family val="2"/>
        <scheme val="minor"/>
      </rPr>
      <t>5%</t>
    </r>
    <r>
      <rPr>
        <sz val="11"/>
        <color theme="1"/>
        <rFont val="Calibri"/>
        <family val="2"/>
        <scheme val="minor"/>
      </rPr>
      <t xml:space="preserve"> .12W 5A 300ppm </t>
    </r>
    <r>
      <rPr>
        <sz val="11"/>
        <color theme="9"/>
        <rFont val="Calibri"/>
        <family val="2"/>
        <scheme val="minor"/>
      </rPr>
      <t>0805</t>
    </r>
  </si>
  <si>
    <r>
      <t xml:space="preserve">Res: 100mOhm </t>
    </r>
    <r>
      <rPr>
        <sz val="11"/>
        <color theme="9"/>
        <rFont val="Calibri"/>
        <family val="2"/>
        <scheme val="minor"/>
      </rPr>
      <t>5%</t>
    </r>
    <r>
      <rPr>
        <sz val="11"/>
        <color theme="1"/>
        <rFont val="Calibri"/>
        <family val="2"/>
        <scheme val="minor"/>
      </rPr>
      <t xml:space="preserve"> .12W 1A 300ppm </t>
    </r>
    <r>
      <rPr>
        <sz val="11"/>
        <color theme="9"/>
        <rFont val="Calibri"/>
        <family val="2"/>
        <scheme val="minor"/>
      </rPr>
      <t>0805</t>
    </r>
  </si>
  <si>
    <r>
      <t xml:space="preserve">Res: 1mOhm </t>
    </r>
    <r>
      <rPr>
        <sz val="11"/>
        <color theme="9"/>
        <rFont val="Calibri"/>
        <family val="2"/>
        <scheme val="minor"/>
      </rPr>
      <t>5%</t>
    </r>
    <r>
      <rPr>
        <sz val="11"/>
        <color theme="1"/>
        <rFont val="Calibri"/>
        <family val="2"/>
        <scheme val="minor"/>
      </rPr>
      <t xml:space="preserve"> 3W 54A 75ppm </t>
    </r>
    <r>
      <rPr>
        <sz val="11"/>
        <color theme="9"/>
        <rFont val="Calibri"/>
        <family val="2"/>
        <scheme val="minor"/>
      </rPr>
      <t>2512</t>
    </r>
  </si>
  <si>
    <r>
      <t>Jumper (Resistor &lt; ~20m</t>
    </r>
    <r>
      <rPr>
        <b/>
        <sz val="11"/>
        <color theme="6"/>
        <rFont val="Calibri"/>
        <family val="2"/>
      </rPr>
      <t>Ω</t>
    </r>
    <r>
      <rPr>
        <b/>
        <sz val="11"/>
        <color theme="6"/>
        <rFont val="Calibri"/>
        <family val="2"/>
        <scheme val="minor"/>
      </rPr>
      <t>)</t>
    </r>
  </si>
  <si>
    <t>https://industrial.panasonic.com/cdbs/www-data/pdf/RDA0000/DMA0000COL9.pdf</t>
  </si>
  <si>
    <t>Panasonic ERJ..</t>
  </si>
  <si>
    <t>Samsung RC..</t>
  </si>
  <si>
    <t>https://media.digikey.com/pdf/Data%20Sheets/Samsung%20PDFs/RC_Series_ds.pdf</t>
  </si>
  <si>
    <t>RMCF0603ZG0R00 (10K reel, 0 ohm jumper).     The following are also ok: Yageo RC.., Vishay CRCW.., Panasonic ERJ.., Samsung RC..</t>
  </si>
  <si>
    <t>RMCF1206ZG0R00 (10k reel, stackpole),     RMCF1206ZT0R00 (5k reel, stackpole).     The following are also ok: Yageo RC.., Vishay CRCW.., Panasonic ERJ.., Samsung RC..</t>
  </si>
  <si>
    <r>
      <t xml:space="preserve">Jumper: &lt;50mOhm 0.06W 1A </t>
    </r>
    <r>
      <rPr>
        <sz val="11"/>
        <color theme="9"/>
        <rFont val="Calibri"/>
        <family val="2"/>
        <scheme val="minor"/>
      </rPr>
      <t>0603</t>
    </r>
  </si>
  <si>
    <r>
      <t xml:space="preserve">Jumper: &lt;50mOhm 0.25W 2A </t>
    </r>
    <r>
      <rPr>
        <sz val="11"/>
        <color theme="9"/>
        <rFont val="Calibri"/>
        <family val="2"/>
        <scheme val="minor"/>
      </rPr>
      <t>1206</t>
    </r>
  </si>
  <si>
    <t>DESIGN: 5Vin to 4.3V/3.6V, DC-to-DC Converter, non-isolated, regulated, 40mA output, create "4.3V_APwr" and "3.6V_APwr"</t>
  </si>
  <si>
    <t>Convert 5V from Dc-to-Dc converter output to "4.3V_APwr" (40mA) and "3.6V_APwr" (20mA) output, no clock noise on output since it drives sensitive op amps and analog mux</t>
  </si>
  <si>
    <t>5Vpwr_to_smaller_Vpwr_SlowSim_PRECISE_CAPS_...TSC</t>
  </si>
  <si>
    <t>Vout = 1.25 x (1+R2/R1)</t>
  </si>
  <si>
    <t>R1 = (4.315/1.25 - 1) x 8200 = 8.156K</t>
  </si>
  <si>
    <t>R2 = 20000 / (4.315/1.25 - 1) = 8.156K</t>
  </si>
  <si>
    <t>8.16KΩ and 20KΩ are 0.1% 25ppm/C and cost $0.04</t>
  </si>
  <si>
    <t>8.156KΩ &amp; 8.160KΩ differ by 0.05%</t>
  </si>
  <si>
    <t>AP2202 Accuracy</t>
  </si>
  <si>
    <t>2.8% Total = (2% max over temp) + (0.5% for load)  + (0.3% for 2x 0.1% Resistors)</t>
  </si>
  <si>
    <t>AP2202K R1/R2</t>
  </si>
  <si>
    <t>R2 Target</t>
  </si>
  <si>
    <t>R2 Actual</t>
  </si>
  <si>
    <t>R2 Error</t>
  </si>
  <si>
    <t>R1 = (Vout/1.25 - 1) x R2</t>
  </si>
  <si>
    <t>R2 = R1 / (Vout/1.25 - 1)</t>
  </si>
  <si>
    <t>0.1%  -- 16.9KΩ &amp; 6.9KΩ -- makes 4.3V_Apwr</t>
  </si>
  <si>
    <t>6.9K</t>
  </si>
  <si>
    <r>
      <t xml:space="preserve">ResTF: 6.9Kohm 75V </t>
    </r>
    <r>
      <rPr>
        <sz val="11"/>
        <color theme="9"/>
        <rFont val="Calibri"/>
        <family val="2"/>
        <scheme val="minor"/>
      </rPr>
      <t>0.1</t>
    </r>
    <r>
      <rPr>
        <sz val="11"/>
        <color theme="1"/>
        <rFont val="Calibri"/>
        <family val="2"/>
        <scheme val="minor"/>
      </rPr>
      <t xml:space="preserve">% .06W </t>
    </r>
    <r>
      <rPr>
        <sz val="11"/>
        <color theme="9"/>
        <rFont val="Calibri"/>
        <family val="2"/>
        <scheme val="minor"/>
      </rPr>
      <t>25</t>
    </r>
    <r>
      <rPr>
        <sz val="11"/>
        <color theme="1"/>
        <rFont val="Calibri"/>
        <family val="2"/>
        <scheme val="minor"/>
      </rPr>
      <t>ppm 0603</t>
    </r>
  </si>
  <si>
    <r>
      <t xml:space="preserve">ResTF: 16.9Kohm 75V </t>
    </r>
    <r>
      <rPr>
        <sz val="11"/>
        <color theme="9"/>
        <rFont val="Calibri"/>
        <family val="2"/>
        <scheme val="minor"/>
      </rPr>
      <t>0.1</t>
    </r>
    <r>
      <rPr>
        <sz val="11"/>
        <color theme="1"/>
        <rFont val="Calibri"/>
        <family val="2"/>
        <scheme val="minor"/>
      </rPr>
      <t xml:space="preserve">% .06W </t>
    </r>
    <r>
      <rPr>
        <sz val="11"/>
        <color theme="9"/>
        <rFont val="Calibri"/>
        <family val="2"/>
        <scheme val="minor"/>
      </rPr>
      <t>25</t>
    </r>
    <r>
      <rPr>
        <sz val="11"/>
        <color theme="1"/>
        <rFont val="Calibri"/>
        <family val="2"/>
        <scheme val="minor"/>
      </rPr>
      <t>ppm 0603</t>
    </r>
  </si>
  <si>
    <t>Ma2-76,517</t>
  </si>
  <si>
    <t>16.9K</t>
  </si>
  <si>
    <t>https://www.digikey.com/product-detail/en/panasonic-electronic-components/ERA-3AEB1692V/P16-9KDBTR-ND/2026857</t>
  </si>
  <si>
    <t>ERA-3AEB1692V</t>
  </si>
  <si>
    <t>https://www.digikey.com/product-detail/en/yageo/RT0603BRD076K9L/RT0603BRD076K9L-ND/5928003</t>
  </si>
  <si>
    <t>RT0603BRD076K9L</t>
  </si>
  <si>
    <t>4.3V Regulation</t>
  </si>
  <si>
    <t>Vref check</t>
  </si>
  <si>
    <t>Author: G. Weinreb, Manhattan 2.  Sponsor: www.Manhattan2.org.</t>
  </si>
  <si>
    <t>300W Component Characteristics As Noted in Datasheets (not our design)</t>
  </si>
  <si>
    <t>vRef IC Accuracy</t>
  </si>
  <si>
    <t>Things to Measure At Night with No PV Power and 300W Dc/Dc Converter is OFF</t>
  </si>
  <si>
    <t xml:space="preserve"> &gt; Detect UNDER Voltage (&lt; 3 V)</t>
  </si>
  <si>
    <t>See simulation file for mathematics of circuit</t>
  </si>
  <si>
    <t>Ma2-44,107</t>
  </si>
  <si>
    <t>TLV905x, 5MHz, 0.3uS Rec, 2mVos max OT, 4pF, 40pA typ 85C, 15V/uS, 80dB min OT, In -0.1 to (Vcc-1.4), Out 0.15V to (Vcc-0.15V), 450uA/ch, $0.41</t>
  </si>
  <si>
    <t>TLV906x, 10MHz, 0.2uS Rec, 2mVos max OT, 4pF, 25pA typ 85C, 6V/uS, 80dB min OT, In -0.1 to (Vcc-1.4), Out 0.15V to (Vcc-0.15V), 750uA/ch, $0.49</t>
  </si>
  <si>
    <t>We go to 30K to reduce confusion with 0603 25ppm 33K</t>
  </si>
  <si>
    <r>
      <t>5ohm max flatness &lt;85</t>
    </r>
    <r>
      <rPr>
        <sz val="11"/>
        <color theme="1"/>
        <rFont val="Calibri"/>
        <family val="2"/>
      </rPr>
      <t>°</t>
    </r>
    <r>
      <rPr>
        <sz val="11"/>
        <color theme="1"/>
        <rFont val="Calibri"/>
        <family val="2"/>
        <scheme val="minor"/>
      </rPr>
      <t>C with 4.5Vpwr and +-1V +-Headroom</t>
    </r>
  </si>
  <si>
    <t>18ohm max difference BETWEEN switches (not flatness) &lt;85°C with 4.5Vpwr and 1.5V +Headroom</t>
  </si>
  <si>
    <t xml:space="preserve">46ohm max at &lt;85°C with 4.5Vpwr, no headroom  </t>
  </si>
  <si>
    <r>
      <t>5nA max at 85°C, 0.1nA max at 25°C -- Given V</t>
    </r>
    <r>
      <rPr>
        <vertAlign val="subscript"/>
        <sz val="11"/>
        <color theme="1"/>
        <rFont val="Calibri"/>
        <family val="2"/>
        <scheme val="minor"/>
      </rPr>
      <t>IO</t>
    </r>
    <r>
      <rPr>
        <sz val="11"/>
        <color theme="1"/>
        <rFont val="Calibri"/>
        <family val="2"/>
        <scheme val="minor"/>
      </rPr>
      <t xml:space="preserve"> = (V</t>
    </r>
    <r>
      <rPr>
        <vertAlign val="subscript"/>
        <sz val="11"/>
        <color theme="1"/>
        <rFont val="Calibri"/>
        <family val="2"/>
        <scheme val="minor"/>
      </rPr>
      <t>EE</t>
    </r>
    <r>
      <rPr>
        <sz val="11"/>
        <color theme="1"/>
        <rFont val="Calibri"/>
        <family val="2"/>
        <scheme val="minor"/>
      </rPr>
      <t>+1) to (V</t>
    </r>
    <r>
      <rPr>
        <vertAlign val="subscript"/>
        <sz val="11"/>
        <color theme="1"/>
        <rFont val="Calibri"/>
        <family val="2"/>
        <scheme val="minor"/>
      </rPr>
      <t>CC</t>
    </r>
    <r>
      <rPr>
        <sz val="11"/>
        <color theme="1"/>
        <rFont val="Calibri"/>
        <family val="2"/>
        <scheme val="minor"/>
      </rPr>
      <t>−1)</t>
    </r>
  </si>
  <si>
    <t>5mVos max over temp;   1uV/°C typical drift (max not specified)</t>
  </si>
  <si>
    <t xml:space="preserve">75min dB cmrr for 0to (Vcc-1.3) over temp, 5V supply.   Or 80min / 100typ dB cmrr for vin = 0 to (Vcc-1.3) over at 25°C </t>
  </si>
  <si>
    <t>Note: 50°C x 6uV = 300uV</t>
  </si>
  <si>
    <t>2mVos max over temp;   0.5uV/°C typical drift (max not specified)</t>
  </si>
  <si>
    <t>NLAST4051, 8:1 mux, $0.35</t>
  </si>
  <si>
    <t xml:space="preserve"> &gt; NLAST4599 spdt is similar</t>
  </si>
  <si>
    <t>NLAST4051, 8:1 Mux, 5nA mx OT, 5.5Vps dual, 0.8/2V digital, 8pF, 46Ω mx OT, 18Ω Match, 5Ω Flat, V+/V- Clamps?, TSSOP-16, leakage spec has +-1V +-Headroom, $.35</t>
  </si>
  <si>
    <t>NLAST4599DFT2G, 2:1 Mux, 10nA mx OT, 5.5Vps single, 0.8/2V digital, 10pF, 50Ω mx OT, 2Ω Match, 4Ω Flat, V+/V- Clamps?, leakage spec has +-1V +-Headroom, SOT-363, $.11</t>
  </si>
  <si>
    <t>74VHC4051A, 8:1 Mux, 1uA mx OT, 5.5Vps single, 30%/70% digital, 6pF, 46Ω mx OT, 18Ω Match, V+/V- Clamps, leakage spec has 0V +-Headroom, TSSOP-16, $.11</t>
  </si>
  <si>
    <t>74VHC4053A, 3x SPDT, 1uA mx OT, 5.5Vps single, 30%/70% digital, 6pF, 46Ω mx OT, 18Ω Match, V+/V- Clamps, 5.5Vps, leakage spec has 0V +-Headroom, TSSOP-16, $.11</t>
  </si>
  <si>
    <t>TS5A9411DCKR</t>
  </si>
  <si>
    <t>0.3V/50mA diode clamp on all pins</t>
  </si>
  <si>
    <t>10Ω max over temp</t>
  </si>
  <si>
    <t>0.3Ω max over temp</t>
  </si>
  <si>
    <t>0.8/2.4V logic</t>
  </si>
  <si>
    <t>https://www.digikey.com/product-detail/en/texas-instruments/TS5A9411DCKR/296-22731-2-ND/1739550</t>
  </si>
  <si>
    <t>ti has pspice yet not tina model and I did not try importing pspice</t>
  </si>
  <si>
    <t>Electrical Components</t>
  </si>
  <si>
    <t>Ian Detore</t>
  </si>
  <si>
    <t>https://docs.google.com/spreadsheets/d/1HKt5_8AA8wvrUeILFLAzqNDvifK7P3Ldk2O4MSk9sYg/edit?usp=sharing</t>
  </si>
  <si>
    <t>https://www.nxp.com/docs/en/data-sheet/MC33897.pdf</t>
  </si>
  <si>
    <t>MC33897</t>
  </si>
  <si>
    <t>30 to 80KHz</t>
  </si>
  <si>
    <t>Search this file for "CANbus Transcievers"</t>
  </si>
  <si>
    <t>Flight Time (uSec)</t>
  </si>
  <si>
    <t>20x slower than Flight (uSec)</t>
  </si>
  <si>
    <t>Rise to Flight Ratio</t>
  </si>
  <si>
    <t>MCP2551</t>
  </si>
  <si>
    <t>SLEW RATE CONTROL</t>
  </si>
  <si>
    <t>https://www.digikey.com/product-detail/en/microchip-technology/MCP2551T-I-SN/MCP2551T-I-SNTR-ND/509535</t>
  </si>
  <si>
    <t>16KHz to 1MHz</t>
  </si>
  <si>
    <t>https://www.digikey.com/product-detail/en/stmicroelectronics/L9615D013TR/497-3658-2-ND/685959</t>
  </si>
  <si>
    <t>L9615D013TR</t>
  </si>
  <si>
    <t>PCA82C250</t>
  </si>
  <si>
    <t>1996 old part</t>
  </si>
  <si>
    <t>https://www.digikey.com/product-detail/en/analog-devices-inc/LTC2875IDD-TRPBF/LTC2875IDD-TRPBFTR-ND/5131616</t>
  </si>
  <si>
    <t>LTC2875</t>
  </si>
  <si>
    <t>SLEW RATE CONTROL, +-60V protection, costly $2.45</t>
  </si>
  <si>
    <t>https://www.digikey.com/product-detail/en/texas-instruments/SN65HVD232DR/296-26344-2-ND/1574505</t>
  </si>
  <si>
    <t>SN65HVD232DR</t>
  </si>
  <si>
    <t xml:space="preserve">SLEW RATE CONTROL, +-35V protection </t>
  </si>
  <si>
    <t>https://www.ti.com/lit/ds/symlink/sn65hvd234-q1.pdf?ts=1600541798179&amp;ref_url=https%253A%252F%252Fwww.google.com%252F</t>
  </si>
  <si>
    <t>CAN Driver/Receiver Circuits</t>
  </si>
  <si>
    <t>Fig 28 shows typical receiver/transmitter circuits:</t>
  </si>
  <si>
    <t>https://www.digikey.com/product-detail/en/maxim-integrated/MAX3051EKA-T/MAX3051EKA-TTR-ND/2137348</t>
  </si>
  <si>
    <t>MAX3051EKA-T</t>
  </si>
  <si>
    <t>https://www.somfysystems.com/en-us/products/shades-blinds-curtains/motorized-curtains</t>
  </si>
  <si>
    <t>https://www.somfypro.com/documents/531668/3932114/Glydea+Databook+2014.pdf</t>
  </si>
  <si>
    <t>https://www.floridaautomatedshade.com/Somfy-Glydea-Motorized-Drapery-Curtain-System-s/124.htm</t>
  </si>
  <si>
    <t>https://dandcdesign.com.au/wp-content/uploads/2016/05/Glydea-July-2011-version-LR.pdf</t>
  </si>
  <si>
    <t>https://service.somfy.com/downloads/nam_v5/lowvoltage_databook_5-2019.pdf</t>
  </si>
  <si>
    <t>https://www.baliblinds.com/globalassets/3.-documents/installation-instructions/bali-motorization-owners-manual-autoview.pdf</t>
  </si>
  <si>
    <t>https://www.zebrablinds.ca/pub/media/knowledge/specification/grb-rf-mtr-blind-shd-spec.pdf</t>
  </si>
  <si>
    <t>http://www.windowworldhi.com/wp-content/uploads/2018/08/Somfy-Overview-2.pdf</t>
  </si>
  <si>
    <t>https://media.blinds.com/pdfs/Blynco_Roller_InstallationInstructions.pdf</t>
  </si>
  <si>
    <t>https://www.avoutlet.com/roller-shade-info/installation-and-programming-downloads/</t>
  </si>
  <si>
    <t>https://static.theshadestore.com/s3/theshadestore/cms/files/Somfy_Roller_Solar_Combined.pdf</t>
  </si>
  <si>
    <t>Motorized Blinds</t>
  </si>
  <si>
    <t>Motorized Blind and Curtain Products</t>
  </si>
  <si>
    <t>Motorized Blind and Curtain Somfy Products</t>
  </si>
  <si>
    <t>TTL to -1V to 4V, v.., TinaV9.TSC</t>
  </si>
  <si>
    <t>Main Amplifier</t>
  </si>
  <si>
    <t>MAX4053</t>
  </si>
  <si>
    <t>Ma2-42,327</t>
  </si>
  <si>
    <t>Ma2-42,358</t>
  </si>
  <si>
    <t>Ma2-42,521</t>
  </si>
  <si>
    <t xml:space="preserve">    yet does NOT have Vee (Pwr-)</t>
  </si>
  <si>
    <t>TOSHIBA VHC4051 does NOT have Vee pin (Pwr-); however OnSemi VHC4051 DOES have Vee ($0.20) pin</t>
  </si>
  <si>
    <t>Toshiba 74VHC4051AFT, $0.11</t>
  </si>
  <si>
    <t>OnSemi MC74VHC4051D, $0.20</t>
  </si>
  <si>
    <t xml:space="preserve"> &gt; Toshiba part does NOT</t>
  </si>
  <si>
    <t xml:space="preserve">   have Vee pin, yet OnSemi does</t>
  </si>
  <si>
    <t>Mux IN</t>
  </si>
  <si>
    <t>Fpga Out</t>
  </si>
  <si>
    <t xml:space="preserve">  --- THIS IS OBSOLETE AND NO LONGER BEING MADE !? There are no NLAST spdt or spst parts.</t>
  </si>
  <si>
    <t xml:space="preserve">74VHC4051AFT (diode to V- and V+). Toshiba ($.11) is 5.5V single yet OnSemi ($.20) is Dual Supply +-3V (these are different !!!!). </t>
  </si>
  <si>
    <t xml:space="preserve">74VHC4053AFT (diode to V- and V+).  Toshiba ($.11) is 5.5V single yet OnSemi ($.20) is Dual Supply +-3V (these are different !!!!). </t>
  </si>
  <si>
    <t>https://www.digikey.com/product-detail/en/on-semiconductor/MC74VHC4053DTR2G/MC74VHC4053DTR2GOSTR-ND/919326</t>
  </si>
  <si>
    <t>5.5V dual supply (has Vee pin), supports -1V/4.3V power and 0.8V/2.0V digital TTL</t>
  </si>
  <si>
    <r>
      <t>10</t>
    </r>
    <r>
      <rPr>
        <sz val="9"/>
        <color theme="6"/>
        <rFont val="Calibri Light"/>
        <family val="2"/>
      </rPr>
      <t>n</t>
    </r>
    <r>
      <rPr>
        <sz val="9"/>
        <color theme="1"/>
        <rFont val="Calibri Light"/>
        <family val="2"/>
      </rPr>
      <t>A Max at 85C, 1nA Max at 25C (not typical), +-1V headroom, Vin = (Gnd+1V) to (Vcc-1V), OtherPins = FLOATING !</t>
    </r>
  </si>
  <si>
    <r>
      <t>3</t>
    </r>
    <r>
      <rPr>
        <sz val="9"/>
        <color theme="6"/>
        <rFont val="Calibri Light"/>
        <family val="2"/>
      </rPr>
      <t>n</t>
    </r>
    <r>
      <rPr>
        <sz val="9"/>
        <color theme="1"/>
        <rFont val="Calibri Light"/>
        <family val="2"/>
      </rPr>
      <t>A Max at 85C, 500pA Max at 25C (not typical), +-1V headroom, Vin = (Gnd+1V) to (Vcc-1V)</t>
    </r>
  </si>
  <si>
    <t>0.8/2.0V logic  (not 2.4V)</t>
  </si>
  <si>
    <t>5.5V single. You can NOT tie -1Vpwr to GND pin since input is TTL 0.8V/2V input (not 30%/70% cmos); however, if you run 0.8V/2V thru 10k//10k voltage divider you are ok. There is NO Vee pin.</t>
  </si>
  <si>
    <t>Toshiba ($.11) is 5.5V single yet OnSemi ($.20) is Dual Supply +-3V (these are different !!!!). Can run -1V into GND pin and +4.3V into Vcc pin and 30%/70% digital will work ok (for calculation see "-1V/4.3V Mux Power" below).</t>
  </si>
  <si>
    <t>6Vpwr: Lo: &lt;1.8V (30%), Hi &gt; 4.2V (70%). If you work with Toshiba w/o Vee pin you can tie GND pin to -1Vpwr and then attach TTL to this and Tosiba will work ok since it has 30%/70% inputs. Also, you can tie -1Vpwr to OnSemi Vee pin and run digital into this since it has 30%/70% inputs (70% * 4.3V = 3.0V). Both Toshiba and OnSemi are 30%/70%. For calculation see "-1V/4.3V Mux Power" below.</t>
  </si>
  <si>
    <t>Toshiba VHC405x ($.11) does NOT have Vee (Pwr-) pin whereas OnSemi VHC405x does ($0.20). Also, on Toshiba you can tie -1V into GND pin and +4.3V into Vcc pin and 30%/70% digital will work ok (for calculation see "-1V/4.3V Mux Power" below).</t>
  </si>
  <si>
    <t>TS5A9411, SPDT, 4.3Vpwr, -1Vpwr, LevelTranslation, v1a, Tina9.TSC</t>
  </si>
  <si>
    <t>Level Translation, convert 0 to 3V ttl to -1V/+4.3V for analog switch via MOSFETS</t>
  </si>
  <si>
    <t>Level Translation, convert 0 to 3V ttl to -1V/+4.3V for analog switch via 10K / 10K voltage divider</t>
  </si>
  <si>
    <t>Drive Din via 10K / 10K voltage divider</t>
  </si>
  <si>
    <r>
      <t xml:space="preserve">Vout hi min, </t>
    </r>
    <r>
      <rPr>
        <sz val="9"/>
        <color theme="1"/>
        <rFont val="Calibri"/>
        <family val="2"/>
      </rPr>
      <t xml:space="preserve">≥ </t>
    </r>
    <r>
      <rPr>
        <sz val="9"/>
        <color theme="1"/>
        <rFont val="Calibri Light"/>
        <family val="2"/>
      </rPr>
      <t>2mA load</t>
    </r>
  </si>
  <si>
    <t>Driving Single-Supply Mux/Switch with FPGA Digital Output</t>
  </si>
  <si>
    <t>Simulations:</t>
  </si>
  <si>
    <t>Reference (search above):</t>
  </si>
  <si>
    <t>74VHC4051AFT (Toshiba part, No Vee pin yet that is ok since we tie Pin7 Gnd to Pin 8 Gnd),      Also can use OnSemi #MC74VHC4051DTR2G which has a Vee pin (i.e. dual supply) which works ok.</t>
  </si>
  <si>
    <t>Toshiba</t>
  </si>
  <si>
    <t>74VHC4053AFT (Toshiba part, No Vee pin yet that is ok since we tie Pin7 Gnd to Pin 8 Gnd),      Also can use OnSemi #MC74VHC4053DTR2G which has a Vee pin (i.e. dual supply) which works ok.</t>
  </si>
  <si>
    <t>NLAST4599DTT1G (On Semi),       TS5A9411DCKR (Ti, matches NLAST4599),          NLAST4501 does NOT match</t>
  </si>
  <si>
    <t>Mux: 8:1, NLAST4051, 5nA +-1Vhead 5.5V, 0.8/2V, 8pF 46ohm TSSOP16</t>
  </si>
  <si>
    <t>Mux: 8:1, 74VHC4051, Toshiba or OnSemi, Pin7 = GND, 30%/70%, 1uA 5.5V 6pF 46ohm TSSOP16</t>
  </si>
  <si>
    <t>Switch: 1x SPDT, NLAST4599, 10nA +-1Vhead 5.5V, 0.8/2V, 10pF 50ohm SOT363</t>
  </si>
  <si>
    <t>Switch: 3x SPDT, 74VHC4053, Toshiba or OnSemi, Pin7 = GND, 30%/70%, 1uA 5.5V 6pF 46ohm TSSOP16</t>
  </si>
  <si>
    <t>Ma2-12,210</t>
  </si>
  <si>
    <t>Cap: 10pF 50V 5% npo 125C 0603</t>
  </si>
  <si>
    <t>CC0603CRNPO9BN3R0 (Yageo, +-0.25pF, 4K reel)</t>
  </si>
  <si>
    <t>https://www.digikey.com/product-detail/en/samsung-electro-mechanics/CL10C100CB8NNWC/1276-2150-2-ND/3887808</t>
  </si>
  <si>
    <t>CL10C100CB8NNWC (4k reel)</t>
  </si>
  <si>
    <t>https://www.digikey.com/product-detail/en/micro-commercial-co/MMBD914-TP/MMBD914TPMSTR-ND/717278</t>
  </si>
  <si>
    <t>MMBD914-TP</t>
  </si>
  <si>
    <t>10mA: 0.85Vf @ 25C max</t>
  </si>
  <si>
    <t xml:space="preserve">25nA max @ 20V/25C (table) </t>
  </si>
  <si>
    <t>https://www.digikey.com/product-detail/en/nexperia-usa-inc/BAS116-235/1727-6374-2-ND/1232055</t>
  </si>
  <si>
    <t>BAS116-235</t>
  </si>
  <si>
    <t>3000 (slow)</t>
  </si>
  <si>
    <t>50mA: 1.1Vf @ 25C max</t>
  </si>
  <si>
    <t>5nA max @ 75V/25C,      80nA max @ 75V/150C</t>
  </si>
  <si>
    <t>BAS116, $0.026, sot23, 75V, 2pF, 3000nS, 5nA/75V/25C, 80nA/150C mx</t>
  </si>
  <si>
    <t>LOW LEAKAGE DIODES (&lt; 100nA max at 75C), SOT-23</t>
  </si>
  <si>
    <t>https://www.digikey.com/product-detail/en/diodes-incorporated/BAV199-7-F/BAV199-FDITR-ND/1033645</t>
  </si>
  <si>
    <t>BAV199-7-F</t>
  </si>
  <si>
    <t>10mA: 1Vf @ 25C max</t>
  </si>
  <si>
    <t>BAV199, 2x Series Array, $0.028, sot23, 75V, 2pF, 3000nS, 1Vf, 5nA/75V/25C, 80nA/150C mx</t>
  </si>
  <si>
    <t>BAV199-7-F (Diodes Inc, 3k reel, 2x series diodes, 75V, SOT-23-3),           BAV199LT1G (OnSemi, 3k reel)                  BAV199,235 (Nexperia, 10K reel)</t>
  </si>
  <si>
    <t>Ma2-28,499</t>
  </si>
  <si>
    <t>Diode: 2x Series BAV119 80nA/150C mx 75V 1Vf 2pF 3000nS SOT23-3</t>
  </si>
  <si>
    <t>Schottky: 2x Series BAT54S 30V 5nS SOT23-3</t>
  </si>
  <si>
    <t>BAT54S,235 (10k reel, Nexperia, 2x diodes in series, SOT-23-3)                     -- careful since BAT54S is very different from BAT54W or BAT54C</t>
  </si>
  <si>
    <t>Bank 1</t>
  </si>
  <si>
    <t>Bank 3</t>
  </si>
  <si>
    <t>Bank 2</t>
  </si>
  <si>
    <t>Bank 4</t>
  </si>
  <si>
    <t>Bank 5</t>
  </si>
  <si>
    <t>GatePwr (10V)</t>
  </si>
  <si>
    <t>3.45V_Clamp</t>
  </si>
  <si>
    <t>3.3V_DPwr</t>
  </si>
  <si>
    <t xml:space="preserve"> -1V_Apwr</t>
  </si>
  <si>
    <t>3.6V_Apwr</t>
  </si>
  <si>
    <t>4.3V_Apwr</t>
  </si>
  <si>
    <t>Bank 2 x 4</t>
  </si>
  <si>
    <t>Bank 5 x 2</t>
  </si>
  <si>
    <t>MCP3461 REFIN+/-</t>
  </si>
  <si>
    <t>Bank 6</t>
  </si>
  <si>
    <t>https://www.digikey.com/product-detail/en/stackpole-electronics-inc/CSRN2512JTR330/CSRN2512JTR330-ND/6271900</t>
  </si>
  <si>
    <t>Ma2-95,033</t>
  </si>
  <si>
    <t>CSRN2512JTR330 (4k reel, stackpole)</t>
  </si>
  <si>
    <t>PvPwr_Panel+, 0-85V</t>
  </si>
  <si>
    <t>PvPwr_Filtered+, 0-85V</t>
  </si>
  <si>
    <t>https://www.digikey.com/product-detail/en/toshiba-semiconductor-and-storage/TPH3R70APL-L1Q/264-TPH3R70APLL1QTR-ND/10447109</t>
  </si>
  <si>
    <t>Ma2-86,714</t>
  </si>
  <si>
    <t>MOSFET: N-ch TPH3R70A 100V 4mOhm 8-SOP-Advance</t>
  </si>
  <si>
    <t>Power_VDFN_SOP_Advance</t>
  </si>
  <si>
    <t>4A/4A  (0.1V / 100mA = 1ohm typical, 0.4V/ 100mA = 4ohm max)</t>
  </si>
  <si>
    <t>NCP81075MTTXG</t>
  </si>
  <si>
    <t>WDFN-10</t>
  </si>
  <si>
    <t>NCP81075MTTXG_MosfetGateDriver</t>
  </si>
  <si>
    <t>https://www.digikey.com/en/products/detail/on-semiconductor/NCP81075MTTXG/7931469?s=N4IgTCBcDaIHIGEAKAOAjABgOwFYCyAKgQBoDiIAugL5A</t>
  </si>
  <si>
    <t>Ma2-45,588</t>
  </si>
  <si>
    <t>Gate Driver: NCP81075MTTXG Half Bridge 200V 4A WDFN10</t>
  </si>
  <si>
    <t xml:space="preserve"> &lt;&lt; THIS WILL GIVE YOU MANY PARTS AND SYMBOLS !</t>
  </si>
  <si>
    <t>https://www.ultralibrarian.com/</t>
  </si>
  <si>
    <t xml:space="preserve"> &lt;&lt; SEARCH FOR PART HERE</t>
  </si>
  <si>
    <t>SnapEDA</t>
  </si>
  <si>
    <t>https://www.snapeda.com/home/</t>
  </si>
  <si>
    <t>Ma2-96,333</t>
  </si>
  <si>
    <t>Res4: 330ohm 50V 5% .06W 1206vex</t>
  </si>
  <si>
    <t>RAVF164DJT330R</t>
  </si>
  <si>
    <t>https://www.digikey.com/en/products/detail/texas-instruments/TLV9061IDBVR/9771994</t>
  </si>
  <si>
    <t>SOT-23-5 (not SOT-353)</t>
  </si>
  <si>
    <t>Rg mVdrop</t>
  </si>
  <si>
    <t>Rfb mVdrop</t>
  </si>
  <si>
    <t>AmpIn (V)</t>
  </si>
  <si>
    <t>AmpOut (V)</t>
  </si>
  <si>
    <t>nA Meas</t>
  </si>
  <si>
    <r>
      <t xml:space="preserve">Measure 0 to 50nA of leakage current from :eft_Lo MOSFET gates, accurate to </t>
    </r>
    <r>
      <rPr>
        <sz val="11"/>
        <color theme="1"/>
        <rFont val="Calibri"/>
        <family val="2"/>
      </rPr>
      <t>±</t>
    </r>
    <r>
      <rPr>
        <sz val="11"/>
        <color theme="1"/>
        <rFont val="Calibri"/>
        <family val="2"/>
        <scheme val="minor"/>
      </rPr>
      <t>10pA (approximate) at 0</t>
    </r>
    <r>
      <rPr>
        <sz val="11"/>
        <color theme="1"/>
        <rFont val="Calibri"/>
        <family val="2"/>
      </rPr>
      <t>°</t>
    </r>
    <r>
      <rPr>
        <sz val="11"/>
        <color theme="1"/>
        <rFont val="Calibri"/>
        <family val="2"/>
        <scheme val="minor"/>
      </rPr>
      <t>C to 75°C temperatures</t>
    </r>
  </si>
  <si>
    <t>1) Short Vin to gnd via GLHD/GLB (GB1/GH1), set Master_vCal to 5mV, measure amplifier Vout to calculate amplifier gain/offset (i.e. measure Rg/Rin ratio accurate to 1/10K, measure Rg, measure Vos)</t>
  </si>
  <si>
    <t>2) Short Vin to gnd via GLHD/GLB (GB1/GH1), set Master_vCal to 0V (not 5mV), measure amplifier Vout to calculate amplifier output with 0pA input (this is an offset created by op amp Vos and leakage current that we later subract)</t>
  </si>
  <si>
    <t>A/D LSB</t>
  </si>
  <si>
    <t>Thermistor: 10K ohm 25C, 1% ohm acc, 3380K R50, 3434K R85, NCU15XH103F60, 0402</t>
  </si>
  <si>
    <t>https://www.ti.com/lit/an/snva408b/snva408b.pdf?ts=1601919047943</t>
  </si>
  <si>
    <t>AN-1994 Modeling and Design of Current Mode Control Boost Converters</t>
  </si>
  <si>
    <t>https://www.ti.com/lit/an/slva636/slva636.pdf?ts=1601919053214</t>
  </si>
  <si>
    <t>Practical Feedback Loop Analysis for Voltage-Mode Boost Converter</t>
  </si>
  <si>
    <t>Boost Converter, Current Mode (i.e. current source)</t>
  </si>
  <si>
    <t>Boost Converter, Voltage Mode (i.e. voltage source)</t>
  </si>
  <si>
    <t>https://www.ti.com/lit/an/slva633/slva633.pdf?ts=1601919054672</t>
  </si>
  <si>
    <t>Buck Converter, Current Mode (i.e. current source)</t>
  </si>
  <si>
    <t>Buck Converter, Voltage Mode (i.e. voltage source)</t>
  </si>
  <si>
    <t>https://www.ti.com/lit/an/snva555/snva555.pdf?ts=1601919734155&amp;ref_url=https%253A%252F%252Fwww.google.com%252F</t>
  </si>
  <si>
    <t>Understanding and Applying Current-Mode Control Theory</t>
  </si>
  <si>
    <t>https://www.ti.com/lit/an/slvae09a/slvae09a.pdf?ts=1601919737317&amp;ref_url=https%253A%252F%252Fwww.google.com%252F</t>
  </si>
  <si>
    <t>Loop Response Considerations in Peak Current Mode Buck Converter Design</t>
  </si>
  <si>
    <t>https://training.ti.com/buck-regulator-architectures-currentemulated-current-mode-buck-regulators</t>
  </si>
  <si>
    <t>Video: Buck regulator architectures - current/emulated current mode buck regulators</t>
  </si>
  <si>
    <t>https://www.ti.com/lit/an/slvae10/slvae10.pdf?ts=1601919743411&amp;ref_url=https%253A%252F%252Fwww.google.com%252F</t>
  </si>
  <si>
    <t>Create an Inverting Power Supply Using Peak Current Mode Buck Converter</t>
  </si>
  <si>
    <t>https://www.ti.com/lit/an/slva057/slva057.pdf?ts=1601919745247&amp;ref_url=https%253A%252F%252Fwww.google.com%252F</t>
  </si>
  <si>
    <t>https://www.ti.com/lit/sg/slyt710a/slyt710a.pdf?ts=1601919754517&amp;ref_url=https%253A%252F%252Fwww.google.com%252F</t>
  </si>
  <si>
    <t>$1.18 (ti.com 1k price, digi is $1.24/6k)</t>
  </si>
  <si>
    <t>Gain BW</t>
  </si>
  <si>
    <t>600KHz x Gain 200 = 120MHz GBW</t>
  </si>
  <si>
    <t>800KHz x Gain 200 = 160MHz GBW</t>
  </si>
  <si>
    <t>expects Vin to be &gt; Vpwr (e.g. Vpwr = 4.1V and Vshunt is between 4.1V and 110V)</t>
  </si>
  <si>
    <t>https://ww1.microchip.com/downloads/en/DeviceDoc/MCP6D11-Data-Sheet-DS20006162A.pdf</t>
  </si>
  <si>
    <t>MCP6D11</t>
  </si>
  <si>
    <t>https://www.ti.com/lit/an/sboa176a/sboa176a.pdf?ts=1601932977468</t>
  </si>
  <si>
    <t>Current Measurements</t>
  </si>
  <si>
    <t>https://www.ti.com/lit/an/sboa174a/sboa174a.pdf?ts=1601932774041&amp;ref_url=https%253A%252F%252Fwww.ti.com%252Fproduct%252FINA290-Q1%253FkeyMatch%253DINA290%2526tisearch%253DSearch-EN-everything</t>
  </si>
  <si>
    <t>Current Sensing in an H-Bridge, TI #SBOA174A</t>
  </si>
  <si>
    <t>Switching Power Supply Current Measurements, TI #SBOA176A</t>
  </si>
  <si>
    <t>Understanding Buck Converters, TI #SLVA057</t>
  </si>
  <si>
    <t>Control-Mode Quick Ref Guide, Step-Down Non-Isolated DC/DC, TI #SLYT710a</t>
  </si>
  <si>
    <t>Infineon Power Conversion Application Notes</t>
  </si>
  <si>
    <t>Search this file for "Xmc Power Application Notes"</t>
  </si>
  <si>
    <t>TLV9054IPWR, TI ($.44 for 4ch 9054, $.29 for 2ch 9052, $.21 for 1ch 9051.     9054: ArrowGsw $.43/2k, $.41/6k,  digi $.44/2k, mouser $.44/2k)</t>
  </si>
  <si>
    <r>
      <t>1</t>
    </r>
    <r>
      <rPr>
        <sz val="9"/>
        <color rgb="FFFF0000"/>
        <rFont val="Calibri Light"/>
        <family val="2"/>
      </rPr>
      <t>µ</t>
    </r>
    <r>
      <rPr>
        <sz val="9"/>
        <color theme="1"/>
        <rFont val="Calibri Light"/>
        <family val="2"/>
      </rPr>
      <t>A over temp with I/O voltage at Vee or Vcc (i.e. with no headroom). Also, 0.1uA max at 25C</t>
    </r>
  </si>
  <si>
    <t>46Ω max over temp with 4.5Vpwr, no headroom (Toshiba datasheet, 2nd table showing 85C). If you have 46Ω and 1uA then you get 47uV drop.</t>
  </si>
  <si>
    <t>18Ω max difference BETWEEN switches (not flatness) over temp with 4.5Vpwr and no headroom (Toshiba datasheet, 2nd table showing 85C). If you have 1uA leakage then  this is 18uV difference between R's.</t>
  </si>
  <si>
    <t>NLAST4053</t>
  </si>
  <si>
    <t>NLAST4052</t>
  </si>
  <si>
    <t>https://www.onsemi.com/pub/Collateral/MC74LVXT4051-D.PDF</t>
  </si>
  <si>
    <r>
      <t>2</t>
    </r>
    <r>
      <rPr>
        <sz val="9"/>
        <color rgb="FFFF0000"/>
        <rFont val="Calibri Light"/>
        <family val="2"/>
      </rPr>
      <t>µ</t>
    </r>
    <r>
      <rPr>
        <sz val="9"/>
        <color theme="1"/>
        <rFont val="Calibri Light"/>
        <family val="2"/>
      </rPr>
      <t>A max &lt;85C with I/O voltage at Vee or Vcc (i.e. with no headroom), 5.5Vcc</t>
    </r>
  </si>
  <si>
    <t>MC74LVXT4051 (OnSemi)</t>
  </si>
  <si>
    <t>TMUX1308-Q1</t>
  </si>
  <si>
    <t>https://www.digikey.com/en/products/detail/texas-instruments/TMUX1308PWR/13237254</t>
  </si>
  <si>
    <t>TMUX1309-Q1</t>
  </si>
  <si>
    <t>220ohm, 5Vpwr, 45nA x 220ohm = 10uV</t>
  </si>
  <si>
    <r>
      <t>45</t>
    </r>
    <r>
      <rPr>
        <sz val="9"/>
        <color theme="6"/>
        <rFont val="Calibri Light"/>
        <family val="2"/>
      </rPr>
      <t>n</t>
    </r>
    <r>
      <rPr>
        <sz val="9"/>
        <color theme="1"/>
        <rFont val="Calibri Light"/>
        <family val="2"/>
      </rPr>
      <t>A Max at 85C, +-1V headroom, Vin = (Vee+1) to (Vcc-1), OtherPins NotSpecified (?)</t>
    </r>
  </si>
  <si>
    <t>does not have diodes yet instead has mosfet clamps that are better, see datasheet for details</t>
  </si>
  <si>
    <t>19%/25% logic  (e.g. 0.95V/1.25V with 5Vpwr)</t>
  </si>
  <si>
    <t>5.5V single. If you run 0.4V/3V thru 10k // 10k voltage divider you will get (0.4 -- 1V)/2 = 0.7V wrt GND_pin and (3 -- 1V)/2 = 2V wrt GND_pin and this is ok.</t>
  </si>
  <si>
    <t>Din hi Min wrt IC gnd</t>
  </si>
  <si>
    <t>Din lo Max wrt IC gnd</t>
  </si>
  <si>
    <t>2:1 Divider</t>
  </si>
  <si>
    <t>Output wrt IC gnd</t>
  </si>
  <si>
    <t>This ok?</t>
  </si>
  <si>
    <t>https://www.ti.com/lit/ds/symlink/tmux1219.pdf?ts=1602019299808&amp;ref_url=https%253A%252F%252Fwww.ti.com%252Fproduct%252FTMUX1219</t>
  </si>
  <si>
    <t>TMUX1219</t>
  </si>
  <si>
    <r>
      <t>50</t>
    </r>
    <r>
      <rPr>
        <sz val="9"/>
        <color theme="6"/>
        <rFont val="Calibri Light"/>
        <family val="2"/>
      </rPr>
      <t>n</t>
    </r>
    <r>
      <rPr>
        <sz val="9"/>
        <color theme="1"/>
        <rFont val="Calibri Light"/>
        <family val="2"/>
      </rPr>
      <t>A Max at 85C, 1.5V -Headroom and 0.5V +Headroom, Vin = (Vee+1.5V) to (Vcc-0.5V)</t>
    </r>
  </si>
  <si>
    <t>https://www.ti.com/lit/ds/symlink/tmux1237.pdf?ts=1602020285681&amp;ref_url=https%253A%252F%252Fwww.ti.com%252Fproduct%252FTMUX1237</t>
  </si>
  <si>
    <t>TMUX1237</t>
  </si>
  <si>
    <r>
      <t>500</t>
    </r>
    <r>
      <rPr>
        <sz val="9"/>
        <color theme="6"/>
        <rFont val="Calibri Light"/>
        <family val="2"/>
      </rPr>
      <t>n</t>
    </r>
    <r>
      <rPr>
        <sz val="9"/>
        <color theme="1"/>
        <rFont val="Calibri Light"/>
        <family val="2"/>
      </rPr>
      <t>A Max at 85C, 1V -Headroom and 0.5V +Headroom, Vin = (Vee+1V) to (Vcc-0.5V)</t>
    </r>
  </si>
  <si>
    <t>I have spice for Tmux1208 yet not Tmux1308, yet they are similar</t>
  </si>
  <si>
    <t>I have spice for Tmux1208 yet not Tmux1308 or Tmux1309, yet they are similar</t>
  </si>
  <si>
    <t>Ma2-42,435</t>
  </si>
  <si>
    <t>Mux: 8:1, TMUX1308, 45nA +-1Vhead 5.5V, 19%/25%, 11pF 220ohm TSSOP16</t>
  </si>
  <si>
    <t>TMUX1308QPWRQ1 (ti, 2k reel, complex input over-voltage circuit, A0 is pin 11 -- different from other muxes ),            TMUX1308PWR (non-Q version; this is ok too),        TMUX1208/9 is 10x more leakage.</t>
  </si>
  <si>
    <t>https://www.ti.com/product/TMUX1309-Q1?keyMatch=TMUX1309&amp;tisearch=Search-EN-everything&amp;usecase=GPN</t>
  </si>
  <si>
    <t>Ma2-42,446</t>
  </si>
  <si>
    <t>Mux: 2x 4:1, TMUX1309, 45nA +-1Vhead 5.5V, 19%/25%, 11pF 220ohm TSSOP16</t>
  </si>
  <si>
    <t>TMUX1309QPWRQ1 (ti, 2k reel, complex input over-voltage circuit, A0 is pin 10 -- different from other muxes),            TMUX1309PWR (non-Q version; this is ok too),        TMUX1208/9 is 10x more leakage.</t>
  </si>
  <si>
    <t>TMUX1309_reverseOf_Max4052</t>
  </si>
  <si>
    <t>TMUX1308_vhc4051_like_mux</t>
  </si>
  <si>
    <t>6000 (bad)</t>
  </si>
  <si>
    <t>3800 (bad)</t>
  </si>
  <si>
    <r>
      <t xml:space="preserve">NOT USED -- DESIGN: Amplifier &amp; Calibration SPDT, Single-Ended, Measures </t>
    </r>
    <r>
      <rPr>
        <b/>
        <sz val="11"/>
        <color theme="9"/>
        <rFont val="Calibri"/>
        <family val="2"/>
      </rPr>
      <t>-2mV to 20</t>
    </r>
    <r>
      <rPr>
        <b/>
        <sz val="11"/>
        <color theme="9"/>
        <rFont val="Calibri"/>
        <family val="2"/>
        <scheme val="minor"/>
      </rPr>
      <t>mV across Rshunt, Gain = 120, 5MHz BW, ?nSec 700KHz Sinewave delay,  ?nSec Square Wave Delay</t>
    </r>
  </si>
  <si>
    <r>
      <t>75min dB cmrr for 0V to (Vcc-1V) over temp, 5V supply.   Or 80min / 100typ dB cmrr for vin = 0 to (Vcc-1V) @ 25</t>
    </r>
    <r>
      <rPr>
        <sz val="9"/>
        <color theme="1"/>
        <rFont val="Calibri"/>
        <family val="2"/>
      </rPr>
      <t>°</t>
    </r>
    <r>
      <rPr>
        <sz val="9"/>
        <color theme="1"/>
        <rFont val="Calibri Light"/>
        <family val="2"/>
      </rPr>
      <t xml:space="preserve">C </t>
    </r>
  </si>
  <si>
    <t>0V to (Vcc-1V) for good CMRR</t>
  </si>
  <si>
    <t>TLV9064IPWR</t>
  </si>
  <si>
    <t>https://www.digikey.com/en/products/detail/texas-instruments/TLV9064IPWR/9462852</t>
  </si>
  <si>
    <t>OpAmp: TLV9064 4ch 10MHz 2mVos 25pA 80dB 750uA-ch TSSOP14</t>
  </si>
  <si>
    <t>https://www.digikey.com/en/products/detail/texas-instruments/TMUX1308QPWRQ1/13237249?s=N4IgTCBcDaICoFkCqANAjAZgAwA4CKACgOoBKeaIAugL5A</t>
  </si>
  <si>
    <t>CurrentShunt_DiffAmp, v12a.TSC</t>
  </si>
  <si>
    <t>Simulation: CurrentShunt_DiffAmp, v12a.TSC</t>
  </si>
  <si>
    <t xml:space="preserve">Stage 1: </t>
  </si>
  <si>
    <t>Tlv9064 G=2, 2mVos, $0.22, 10MHz, Vin -0.1 to (Vcc+0.1), Vout 20mV to (Vcc-20mV)</t>
  </si>
  <si>
    <t xml:space="preserve">Stage 3: </t>
  </si>
  <si>
    <t xml:space="preserve">Stage 2: </t>
  </si>
  <si>
    <t>3 Stage Amplifier, Differential, -4mV to 15mV input, 4MHz BW theoretical (2.3MHz on simulator)</t>
  </si>
  <si>
    <t>Stage 1&amp;2: Tlv9064 G=2 (2mVos, $0.22, 10MHz), Stage 3: Lmv793 g=25 (2mVos, $0.53, 88MHz, 40V/uSec.,2mA quiesent !!!)</t>
  </si>
  <si>
    <t>DESIGN: DIFFERENTIAL AMPLFIER Measures -4 to 15mV across Rshunt, 1.5MHz BW (obs on sim), 0.15uSec 700KHz Sinewave delay, 0.5uSec Square Wave Delay</t>
  </si>
  <si>
    <t>https://www.digikey.com/en/products/detail/panasonic-electronic-components/ERA-3AEB1020V/2026659</t>
  </si>
  <si>
    <t>https://www.digikey.com/en/products/detail/panasonic-electronic-components/ERA-3AEB161V/1465835</t>
  </si>
  <si>
    <t>https://www.digikey.com/en/products/detail/panasonic-electronic-components/ERA-3AEB3830V/2026710</t>
  </si>
  <si>
    <t>https://www.digikey.com/en/products/detail/panasonic-electronic-components/ERA-3AEB7681V/2026828</t>
  </si>
  <si>
    <t>ERA-3AEB1020V</t>
  </si>
  <si>
    <t>ERA-3AEB161V</t>
  </si>
  <si>
    <t>ERA-3AEB3830V</t>
  </si>
  <si>
    <t>ERA-3AEB7681V</t>
  </si>
  <si>
    <t>Ma2-76,102</t>
  </si>
  <si>
    <t>Ma2-76,160</t>
  </si>
  <si>
    <t>Ma2-76,383</t>
  </si>
  <si>
    <t>Ma2-76,768</t>
  </si>
  <si>
    <r>
      <t xml:space="preserve">ResTF: 102ohm 75V </t>
    </r>
    <r>
      <rPr>
        <sz val="11"/>
        <color theme="9"/>
        <rFont val="Calibri"/>
        <family val="2"/>
        <scheme val="minor"/>
      </rPr>
      <t>0.1</t>
    </r>
    <r>
      <rPr>
        <sz val="11"/>
        <color theme="1"/>
        <rFont val="Calibri"/>
        <family val="2"/>
        <scheme val="minor"/>
      </rPr>
      <t xml:space="preserve">% .06W </t>
    </r>
    <r>
      <rPr>
        <sz val="11"/>
        <color theme="9"/>
        <rFont val="Calibri"/>
        <family val="2"/>
        <scheme val="minor"/>
      </rPr>
      <t>25</t>
    </r>
    <r>
      <rPr>
        <sz val="11"/>
        <color theme="1"/>
        <rFont val="Calibri"/>
        <family val="2"/>
        <scheme val="minor"/>
      </rPr>
      <t>ppm 0603</t>
    </r>
  </si>
  <si>
    <r>
      <t xml:space="preserve">ResTF: 160ohm 75V </t>
    </r>
    <r>
      <rPr>
        <sz val="11"/>
        <color theme="9"/>
        <rFont val="Calibri"/>
        <family val="2"/>
        <scheme val="minor"/>
      </rPr>
      <t>0.1</t>
    </r>
    <r>
      <rPr>
        <sz val="11"/>
        <color theme="1"/>
        <rFont val="Calibri"/>
        <family val="2"/>
        <scheme val="minor"/>
      </rPr>
      <t xml:space="preserve">% .06W </t>
    </r>
    <r>
      <rPr>
        <sz val="11"/>
        <color theme="9"/>
        <rFont val="Calibri"/>
        <family val="2"/>
        <scheme val="minor"/>
      </rPr>
      <t>25</t>
    </r>
    <r>
      <rPr>
        <sz val="11"/>
        <color theme="1"/>
        <rFont val="Calibri"/>
        <family val="2"/>
        <scheme val="minor"/>
      </rPr>
      <t>ppm 0603</t>
    </r>
  </si>
  <si>
    <t>this is our circuit &gt;&gt;</t>
  </si>
  <si>
    <r>
      <t xml:space="preserve">ResTF: 383ohm 75V </t>
    </r>
    <r>
      <rPr>
        <sz val="11"/>
        <color theme="9"/>
        <rFont val="Calibri"/>
        <family val="2"/>
        <scheme val="minor"/>
      </rPr>
      <t>0.1</t>
    </r>
    <r>
      <rPr>
        <sz val="11"/>
        <color theme="1"/>
        <rFont val="Calibri"/>
        <family val="2"/>
        <scheme val="minor"/>
      </rPr>
      <t xml:space="preserve">% .06W </t>
    </r>
    <r>
      <rPr>
        <sz val="11"/>
        <color theme="9"/>
        <rFont val="Calibri"/>
        <family val="2"/>
        <scheme val="minor"/>
      </rPr>
      <t>25</t>
    </r>
    <r>
      <rPr>
        <sz val="11"/>
        <color theme="1"/>
        <rFont val="Calibri"/>
        <family val="2"/>
        <scheme val="minor"/>
      </rPr>
      <t>ppm 0603</t>
    </r>
  </si>
  <si>
    <r>
      <t xml:space="preserve">ResTF: 7.68Kohm 75V </t>
    </r>
    <r>
      <rPr>
        <sz val="11"/>
        <color theme="9"/>
        <rFont val="Calibri"/>
        <family val="2"/>
        <scheme val="minor"/>
      </rPr>
      <t>0.1</t>
    </r>
    <r>
      <rPr>
        <sz val="11"/>
        <color theme="1"/>
        <rFont val="Calibri"/>
        <family val="2"/>
        <scheme val="minor"/>
      </rPr>
      <t xml:space="preserve">% .06W </t>
    </r>
    <r>
      <rPr>
        <sz val="11"/>
        <color theme="9"/>
        <rFont val="Calibri"/>
        <family val="2"/>
        <scheme val="minor"/>
      </rPr>
      <t>25</t>
    </r>
    <r>
      <rPr>
        <sz val="11"/>
        <color theme="1"/>
        <rFont val="Calibri"/>
        <family val="2"/>
        <scheme val="minor"/>
      </rPr>
      <t>ppm 0603</t>
    </r>
  </si>
  <si>
    <t>7.68K</t>
  </si>
  <si>
    <r>
      <t xml:space="preserve">NOT USED -- DESIGN: AMPLFIER &amp; MUX, Single-Ended, Measure </t>
    </r>
    <r>
      <rPr>
        <b/>
        <sz val="11"/>
        <color theme="9"/>
        <rFont val="Calibri"/>
        <family val="2"/>
      </rPr>
      <t>±30</t>
    </r>
    <r>
      <rPr>
        <b/>
        <sz val="11"/>
        <color theme="9"/>
        <rFont val="Calibri"/>
        <family val="2"/>
        <scheme val="minor"/>
      </rPr>
      <t>mV across Rshunt, Gain = 51, 5MHz BW, ?nSec 700KHz Sinewave delay,  60nSec Square Wave Delay</t>
    </r>
  </si>
  <si>
    <t>not used &gt;</t>
  </si>
  <si>
    <t>https://www.ti.com/lit/ds/symlink/lmv793.pdf?HQS=TI-null-null-digikeymode-df-pf-null-wwe&amp;ts=1602341394246</t>
  </si>
  <si>
    <t>Ma2-44,112</t>
  </si>
  <si>
    <t>LMV793MFX/NOPB   (ti, 3k reel, Pin1 = Out),    LMV793MF/NOPB   (ti, 1k reel, Pin1 = Out)</t>
  </si>
  <si>
    <t>OpAmp: LMV793 1ch 88MHz 2mVos 25pA 75dB Pin1out SOT23-5</t>
  </si>
  <si>
    <t>OpAmp: TLV9061 1ch 10MHz 2mVos 25pA 80dB 750uA-ch Pin1out SOT23-5</t>
  </si>
  <si>
    <t>OpAmp: LMV321A 1ch 1MHz 5mVos 85nA 65dB Pin4out SOT23-5</t>
  </si>
  <si>
    <t>As312_SOT23-5   (Pin 4 = Out)</t>
  </si>
  <si>
    <t>OpAmp_1x_SOT23-5_PIn1_OUT   (Pin 1 = Out)</t>
  </si>
  <si>
    <t>TLV9061IDBVR  (ti, SOT23-3, not SOT-353, Pin1 = Out)</t>
  </si>
  <si>
    <t>LMV321AS5X (On Semi, Pin4 = Out),       LMV321AUIDBVR (TI, 3k reel, Sot23-5, $0.13, Pin4 = Out)              (Do Not Use #LMV321AID, "AID" and "AUID" have different PIN 1 -- CAREFUL)                   (Not "LM321", we need "LMV321")</t>
  </si>
  <si>
    <r>
      <t xml:space="preserve">ResTF: 33Kohm 150V </t>
    </r>
    <r>
      <rPr>
        <strike/>
        <sz val="11"/>
        <color theme="5"/>
        <rFont val="Calibri"/>
        <family val="2"/>
        <scheme val="minor"/>
      </rPr>
      <t>0.1</t>
    </r>
    <r>
      <rPr>
        <strike/>
        <sz val="11"/>
        <color theme="1"/>
        <rFont val="Calibri"/>
        <family val="2"/>
        <scheme val="minor"/>
      </rPr>
      <t xml:space="preserve">% .1W </t>
    </r>
    <r>
      <rPr>
        <strike/>
        <sz val="11"/>
        <color theme="5"/>
        <rFont val="Calibri"/>
        <family val="2"/>
        <scheme val="minor"/>
      </rPr>
      <t>10</t>
    </r>
    <r>
      <rPr>
        <strike/>
        <sz val="11"/>
        <color theme="1"/>
        <rFont val="Calibri"/>
        <family val="2"/>
        <scheme val="minor"/>
      </rPr>
      <t xml:space="preserve">ppm </t>
    </r>
    <r>
      <rPr>
        <strike/>
        <sz val="11"/>
        <color theme="5"/>
        <rFont val="Calibri"/>
        <family val="2"/>
        <scheme val="minor"/>
      </rPr>
      <t>0805</t>
    </r>
  </si>
  <si>
    <r>
      <t xml:space="preserve">ResTF: 33KΩ 150V </t>
    </r>
    <r>
      <rPr>
        <strike/>
        <sz val="11"/>
        <color theme="5"/>
        <rFont val="Calibri"/>
        <family val="2"/>
        <scheme val="minor"/>
      </rPr>
      <t>0.1</t>
    </r>
    <r>
      <rPr>
        <strike/>
        <sz val="11"/>
        <color theme="1"/>
        <rFont val="Calibri"/>
        <family val="2"/>
        <scheme val="minor"/>
      </rPr>
      <t xml:space="preserve">% .1W </t>
    </r>
    <r>
      <rPr>
        <strike/>
        <sz val="11"/>
        <color theme="5"/>
        <rFont val="Calibri"/>
        <family val="2"/>
        <scheme val="minor"/>
      </rPr>
      <t>10</t>
    </r>
    <r>
      <rPr>
        <strike/>
        <sz val="11"/>
        <color theme="1"/>
        <rFont val="Calibri"/>
        <family val="2"/>
        <scheme val="minor"/>
      </rPr>
      <t xml:space="preserve">ppm </t>
    </r>
    <r>
      <rPr>
        <strike/>
        <sz val="11"/>
        <color theme="5"/>
        <rFont val="Calibri"/>
        <family val="2"/>
        <scheme val="minor"/>
      </rPr>
      <t>0805</t>
    </r>
    <r>
      <rPr>
        <strike/>
        <sz val="11"/>
        <rFont val="Calibri"/>
        <family val="2"/>
        <scheme val="minor"/>
      </rPr>
      <t xml:space="preserve"> $0.22/1K</t>
    </r>
  </si>
  <si>
    <r>
      <rPr>
        <sz val="11"/>
        <color theme="5"/>
        <rFont val="Calibri"/>
        <family val="2"/>
        <scheme val="minor"/>
      </rPr>
      <t>0.1%</t>
    </r>
    <r>
      <rPr>
        <sz val="11"/>
        <color theme="6"/>
        <rFont val="Calibri"/>
        <family val="2"/>
        <scheme val="minor"/>
      </rPr>
      <t xml:space="preserve"> 75V .1W </t>
    </r>
    <r>
      <rPr>
        <sz val="11"/>
        <color theme="9"/>
        <rFont val="Calibri"/>
        <family val="2"/>
        <scheme val="minor"/>
      </rPr>
      <t>10</t>
    </r>
    <r>
      <rPr>
        <sz val="11"/>
        <color theme="6"/>
        <rFont val="Calibri"/>
        <family val="2"/>
        <scheme val="minor"/>
      </rPr>
      <t>ppm 0603</t>
    </r>
  </si>
  <si>
    <t>GatePwr_MeOrAboveMe</t>
  </si>
  <si>
    <t>Res: 1.5MΩ 200V 1% .25W 100ppm 1206 $0.008 (normally 1206 is 200V/.25W yet &gt; 1MΩ is 150V/.12W)</t>
  </si>
  <si>
    <t>GatePwr_AboveMe_Safer</t>
  </si>
  <si>
    <t>Time to reverse diode is too long:</t>
  </si>
  <si>
    <t>KSP44, PMBTA45, ZTX458, 2nJ6517</t>
  </si>
  <si>
    <t>Works ok:</t>
  </si>
  <si>
    <t>KSC5502, $.30, DPAK</t>
  </si>
  <si>
    <t>Mosfets</t>
  </si>
  <si>
    <t>BSS225, $0.15, 90mA, 600V, SOT-89</t>
  </si>
  <si>
    <t>Receiver</t>
  </si>
  <si>
    <t>Driving Capacitance</t>
  </si>
  <si>
    <t xml:space="preserve"> I = C dv/dt,     dt = C*dV/I</t>
  </si>
  <si>
    <t>Transmitter Switch</t>
  </si>
  <si>
    <t>worst case: 300 ft of 30pF/ft cable</t>
  </si>
  <si>
    <t>Tmit R_Series</t>
  </si>
  <si>
    <t>MasterCtlr R_Series</t>
  </si>
  <si>
    <t>MasterCtlr Voltage</t>
  </si>
  <si>
    <t>Rcvr R1_divider</t>
  </si>
  <si>
    <t>Rcvr R2_divider</t>
  </si>
  <si>
    <t>Cable</t>
  </si>
  <si>
    <t>voltage drop, 1 wire</t>
  </si>
  <si>
    <t>Rcvr vDivider</t>
  </si>
  <si>
    <t>(Volts)</t>
  </si>
  <si>
    <t>Calculate Pull-up Resistance give uSec Timeconstant for risetime</t>
  </si>
  <si>
    <t>target TC for rise-time</t>
  </si>
  <si>
    <t>e.g. Need 330 ohms to drive 9000pF 16V with 3uSec TC (timeconstant)</t>
  </si>
  <si>
    <t>https://www.nxp.com/docs/en/application-note/AN1798.pdf</t>
  </si>
  <si>
    <t>https://www.ti.com/lit/an/slla270/slla270.pdf?ts=1602684992276&amp;ref_url=https%253A%252F%252Fwww.google.com%252F</t>
  </si>
  <si>
    <t>CANbus Physical Layer, TI #SLLA270</t>
  </si>
  <si>
    <t>Synchronisation &amp; Timing, NXP #AN1798</t>
  </si>
  <si>
    <t>Syncrhonization</t>
  </si>
  <si>
    <t xml:space="preserve"> &gt; hard sync: all devices allign to recessive-to-dominant edge of the transmitted Start-Of-Frame bit</t>
  </si>
  <si>
    <t xml:space="preserve"> &gt; re-sync: each device looks for getting recessive to dominant transition (1 to 0) outside SYNC_SEG</t>
  </si>
  <si>
    <t xml:space="preserve"> &gt; Reference:</t>
  </si>
  <si>
    <t>Logic 0 Current</t>
  </si>
  <si>
    <t>Logic 0 Power</t>
  </si>
  <si>
    <t>% time signaling 0</t>
  </si>
  <si>
    <t>Avg Pwr over time</t>
  </si>
  <si>
    <t>Works, yet rings badly (cannot control rise/fall via R/C at NPN BASE):</t>
  </si>
  <si>
    <t xml:space="preserve"> &gt; any changes in bit value are expected to occur during the SYNC_SEG segment (first 25% of bit, 2.5uSec); otherwise, we re-sync</t>
  </si>
  <si>
    <t xml:space="preserve"> &gt; when you pull down line (e.g. tmit R_series (e.g. 33 ohm) and NPN), you need to move fast since this could be used for re-syncrhonization</t>
  </si>
  <si>
    <t xml:space="preserve"> &gt; If you tmit a 0 and then a 1, then the 1 is sampled at the 75% time (e.g. 7.5uSec). Also, you do NOT want comparator flipping 1/0/1 due to ringing otherwise re-sync will occur and goof everything up.</t>
  </si>
  <si>
    <t>BuildingBus 48 Physical Layer</t>
  </si>
  <si>
    <t>Signaling Data Rates</t>
  </si>
  <si>
    <t>Overvoltage Protection</t>
  </si>
  <si>
    <t>Network Size vs Data Rate</t>
  </si>
  <si>
    <t>Network Power Supply</t>
  </si>
  <si>
    <t>Network Cabling</t>
  </si>
  <si>
    <t>maximum # of devices on cable</t>
  </si>
  <si>
    <t>wires</t>
  </si>
  <si>
    <t>number of wires (48V_pwr+, 48V_pwr-, data, earth_gnd_shield) -- data is single-ended</t>
  </si>
  <si>
    <t>single-ended</t>
  </si>
  <si>
    <t>signaling (1-wire data w.r.t. 48V_pwr-)</t>
  </si>
  <si>
    <t>Master Controller</t>
  </si>
  <si>
    <t>Transmitter</t>
  </si>
  <si>
    <t>Cable Voltages</t>
  </si>
  <si>
    <t>Rcvr Threshold Low</t>
  </si>
  <si>
    <t>Rcvr Threshold Hi</t>
  </si>
  <si>
    <t>Hysteresis</t>
  </si>
  <si>
    <t>vDivider Pwr</t>
  </si>
  <si>
    <t>Rcvr Analog Comparator</t>
  </si>
  <si>
    <t>Rcvr Threshold Middle</t>
  </si>
  <si>
    <t>Cable, Logic 1</t>
  </si>
  <si>
    <t>Cable, Logic 0</t>
  </si>
  <si>
    <t>Logic_0 + Vcm_Max + Vcouple_Max</t>
  </si>
  <si>
    <t>difference between rcvr hysteresis threshold_lo and threshold_hi</t>
  </si>
  <si>
    <t>vout = Vin * R2 / (R1 + R2),      vout * (R1 + R2) = Vin * R2,      vout*R1 + vout*R2 - Vin*R2  =  0,           vout*R2 - Vin*R2  =  -vout*R1,         R2  =  - vout*R1 / (vout - vin)</t>
  </si>
  <si>
    <t>Threshold R1</t>
  </si>
  <si>
    <t>Threshold R2</t>
  </si>
  <si>
    <t>Threshold Pwr V.</t>
  </si>
  <si>
    <t>Hysteresis References:</t>
  </si>
  <si>
    <t>https://www.ti.com/lit/ug/tidu020a/tidu020a.pdf?ts=1602578956799&amp;ref_url=https%253A%252F%252Fwww.google.com%252F</t>
  </si>
  <si>
    <t>http://rohmfs.rohm.com/en/products/databook/applinote/ic/amp_linear/comparator/gpl_cmp_hysteresis-e.pdf</t>
  </si>
  <si>
    <t>https://www.analog.com/en/analog-dialogue/articles/curing-comparator-instability-with-hysteresis.html</t>
  </si>
  <si>
    <t>Threshold Rh</t>
  </si>
  <si>
    <t>Reference (page 7 of the following document): https://www.ti.com/lit/ug/tidu020a/tidu020a.pdf?ts=1602578956799&amp;ref_url=https%253A%252F%252Fwww.google.com%252F</t>
  </si>
  <si>
    <t xml:space="preserve">pull-up time constant </t>
  </si>
  <si>
    <t>total network length</t>
  </si>
  <si>
    <t>capacitance-per-ft</t>
  </si>
  <si>
    <t>total capacitance</t>
  </si>
  <si>
    <t>target rise time (uSec TC)</t>
  </si>
  <si>
    <t>Pull-Voltage</t>
  </si>
  <si>
    <t>current to pull at TC rate</t>
  </si>
  <si>
    <t>pull-up resistance</t>
  </si>
  <si>
    <t>power to pull at TC rate</t>
  </si>
  <si>
    <t>Max Rcvr Vin</t>
  </si>
  <si>
    <t>Receiver Voltage Divider</t>
  </si>
  <si>
    <t>Additional Voltage</t>
  </si>
  <si>
    <t>Max Cable Voltage</t>
  </si>
  <si>
    <t>check:</t>
  </si>
  <si>
    <t>Example Cable</t>
  </si>
  <si>
    <t>Romex SimPull Power with Control/Signal</t>
  </si>
  <si>
    <t>https://www.mysouthwire.com/medias/sys_master/product-specifications/product-specifications/hd0/hda/8854083600414/Romex-Brand-SIMpull-NM-B-PCS-Duo-Cable.pdf</t>
  </si>
  <si>
    <t>https://www.mysouthwire.com/medias/sys_master/product-specifications/product-specifications/h55/h0e/8856764186654/ACIC-PCS-DUO-Power-ControlSignal-Cable-CSA.pdf</t>
  </si>
  <si>
    <t>CSA Type ACIC - Power &amp; Control/Signal Cable</t>
  </si>
  <si>
    <t>https://www.belden.com/hubfs/resources/technical/technical-data/english/5660FT.pdf</t>
  </si>
  <si>
    <t>24awg, solid, twisted, foil shield</t>
  </si>
  <si>
    <t>uH/ft</t>
  </si>
  <si>
    <r>
      <t>m</t>
    </r>
    <r>
      <rPr>
        <sz val="11"/>
        <color theme="1"/>
        <rFont val="Calibri"/>
        <family val="2"/>
      </rPr>
      <t>Ω/ft</t>
    </r>
  </si>
  <si>
    <t>Zo (Ω)</t>
  </si>
  <si>
    <t>https://catalog.belden.com/techdata/EN/5320FL_techdata.pdf</t>
  </si>
  <si>
    <t>two 18awg solid wires, not twisted, foil shield</t>
  </si>
  <si>
    <t>c to c</t>
  </si>
  <si>
    <t>c to (c+s)</t>
  </si>
  <si>
    <t>https://www.digikey.com/en/products/detail/belden-inc/8450-010U500/7009056</t>
  </si>
  <si>
    <t>22awg, solid, twisted, foil shield</t>
  </si>
  <si>
    <t>maximum common mode voltage between devices (+-3V, e.g. 35meters / 4Amps /18awg;  or 18meters / 8Amps /18awg)</t>
  </si>
  <si>
    <t>maximum coupling of signal from adjacent wires (e.g. +-1V) after reciever filter (e.g. after 500KHz filter)</t>
  </si>
  <si>
    <t>maximum capacitance between data wire and Pwr- wire</t>
  </si>
  <si>
    <t>Receiver Filter</t>
  </si>
  <si>
    <t xml:space="preserve">target timeconstant </t>
  </si>
  <si>
    <t>cutoff-frequency</t>
  </si>
  <si>
    <t>R/C filter capacitor</t>
  </si>
  <si>
    <t>GatePwr (10V) AboveMe Circuit</t>
  </si>
  <si>
    <t>GatePwr On/Off</t>
  </si>
  <si>
    <t>GatePwr AboveMe</t>
  </si>
  <si>
    <t>GLB mosfet On/Off</t>
  </si>
  <si>
    <t>Attach GatePwr to Left_Lo Gate</t>
  </si>
  <si>
    <t>Window Thermal Cover Mechanical Issues</t>
  </si>
  <si>
    <t>Issues</t>
  </si>
  <si>
    <t xml:space="preserve"> &gt; jamming</t>
  </si>
  <si>
    <t>options:</t>
  </si>
  <si>
    <t xml:space="preserve"> a) pull on top and bottom exactly the same</t>
  </si>
  <si>
    <t xml:space="preserve"> b) car door scissor trick (pivot point, similar force)</t>
  </si>
  <si>
    <t>can one motor w/ cable and pullies do this?</t>
  </si>
  <si>
    <t xml:space="preserve"> &gt; where is the mechanism given little space</t>
  </si>
  <si>
    <t xml:space="preserve"> &gt; how disassemble mechanism and main panel?</t>
  </si>
  <si>
    <t xml:space="preserve"> &gt; how replace standard mechanism?</t>
  </si>
  <si>
    <t xml:space="preserve"> &gt; what is the mechanism for moving the panel?</t>
  </si>
  <si>
    <t xml:space="preserve"> &gt; needs safety. Perhaps solve this by limiting force to several LBs.</t>
  </si>
  <si>
    <t xml:space="preserve"> &gt; do you have 1 self contained unit or is mechanism built into window casing?</t>
  </si>
  <si>
    <t>https://www.ti.com/solution/solar-power-optimizer?keyMatch=POWER%20OPTIMIZER&amp;tisearch=Search-EN-everything#referencedesigns</t>
  </si>
  <si>
    <r>
      <t>Solar Power Optimizer integrated circuits and reference designs, TI Reference Design</t>
    </r>
    <r>
      <rPr>
        <sz val="11"/>
        <color rgb="FFFF0000"/>
        <rFont val="Calibri"/>
        <family val="2"/>
        <scheme val="minor"/>
      </rPr>
      <t xml:space="preserve"> (good)</t>
    </r>
  </si>
  <si>
    <t>Author: Billie Eilish and Justin Bieber, University Of Ohio.  Sponsor: www.Manhattan2.org.</t>
  </si>
  <si>
    <t>Layer 1</t>
  </si>
  <si>
    <t>Layer 2</t>
  </si>
  <si>
    <t>Total Load</t>
  </si>
  <si>
    <t>(Ω)</t>
  </si>
  <si>
    <t>iSrc Total (A)</t>
  </si>
  <si>
    <t>Array Math</t>
  </si>
  <si>
    <t>Example</t>
  </si>
  <si>
    <t>CurrentSources_Layer1_Total_Amps  = CurrentSource_1a_Amps + CurrentSource_1b_Amps</t>
  </si>
  <si>
    <t>CurrentSources_Layer2_Total_Amps  = CurrentSource_2a_Amps + CurrentSource_2b_Amps</t>
  </si>
  <si>
    <t>Voltage_Sources_AllLayers_Total_Volts  = VoltageSource_Layer1_Volts + VoltageSource_Layer2_Volts</t>
  </si>
  <si>
    <t>Voltage_Sources_AllLayers_Total_Volts  = Total_Current_ThruAllLayers_Amps * Total_Load_ohms</t>
  </si>
  <si>
    <t>VoltageSource_1_Current_Amps = Total_Current_ThruAllLayers_Amps - CurrentSources_Layer1_Total_Amps</t>
  </si>
  <si>
    <t>VoltageSource_2_Current_Amps = Total_Current_ThruAllLayers_Amps - CurrentSources_Layer2_Total_Amps</t>
  </si>
  <si>
    <t>Total_Current_ThruAllLayers_Amps = VoltageSource_1_Current_Amps + CurrentSources_Layer1_Total_Amps</t>
  </si>
  <si>
    <t>Total_Current_ThruAllLayers_Amps = VoltageSource_2_Current_Amps + CurrentSources_Layer2_Total_Amps</t>
  </si>
  <si>
    <t>Sum of Sources</t>
  </si>
  <si>
    <t>Total_Current_ThruAllLayers_Amps  = Voltage_Sources_AllLayers_Total_Volts   /  Total_Load_ohms</t>
  </si>
  <si>
    <t>Total_Load_ohms  * ( VoltageSource_1_Current_Amps + CurrentSources_Layer1_Total_Amps  )  =  Total_Load_ohms  * ( VoltageSource_2_Current_Amps + CurrentSources_Layer2_Total_Amps  )</t>
  </si>
  <si>
    <t>Voltage_Sources_AllLayers_Total_Volts   /  Total_Load_ohms   =    VoltageSource_1_Current_Amps + CurrentSources_Layer1_Total_Amps     =   Total_Current_Amps</t>
  </si>
  <si>
    <t xml:space="preserve">Voltage_Sources_AllLayers_Total_Volts   /  Total_Load_ohms   =    VoltageSource_2_Current_Amps + CurrentSources_Layer2_Total_Amps     =   Total_Current_Amps    </t>
  </si>
  <si>
    <t>Voltage_Sources_AllLayers_Total_Volts  =   Total_Load_ohms  * ( VoltageSource_1_Current_Amps + CurrentSources_Layer1_Total_Amps  )   =   Total_Load_ohms  * Total_Current_Amps</t>
  </si>
  <si>
    <t>Voltage_Sources_AllLayers_Total_Volts  =   Total_Load_ohms  * ( VoltageSource_2_Current_Amps + CurrentSources_Layer2_Total_Amps  )   =   Total_Load_ohms  * Total_Current_Amps</t>
  </si>
  <si>
    <t>V = I * R</t>
  </si>
  <si>
    <t>Set Total_Current_Amps</t>
  </si>
  <si>
    <t xml:space="preserve"> &amp; Current Source Amps</t>
  </si>
  <si>
    <t>Voltage_Sources_AllLayers_Total_Volts   = Total_Current_ThruAllLayers_Amps  *  Total_Load_ohms</t>
  </si>
  <si>
    <t xml:space="preserve"> &amp; R_Load_ohms</t>
  </si>
  <si>
    <t xml:space="preserve"> &amp; Layer1_Volts = Layer2_Volts</t>
  </si>
  <si>
    <t>VoltageSource_Layer1_Volts =  Voltage_Sources_AllLayers_Total_Volts / 2</t>
  </si>
  <si>
    <t>VoltageSource_Layer2_Volts =  Voltage_Sources_AllLayers_Total_Volts - VoltageSource_Layer1_Volts</t>
  </si>
  <si>
    <t>iSrc i2a (A)</t>
  </si>
  <si>
    <t>iSrc i2b (A)</t>
  </si>
  <si>
    <t>iSrc i1a (A)</t>
  </si>
  <si>
    <t>iSrc i1b (A)</t>
  </si>
  <si>
    <t>Total Current</t>
  </si>
  <si>
    <t>All Layers (A)</t>
  </si>
  <si>
    <t>Total Voltage</t>
  </si>
  <si>
    <t>All Layers (V)</t>
  </si>
  <si>
    <t>Ratio L1/L2</t>
  </si>
  <si>
    <t>Vsrc1 (V)</t>
  </si>
  <si>
    <t>Vsrc2 (V)</t>
  </si>
  <si>
    <t>Vsrc1 (A)</t>
  </si>
  <si>
    <t>Vsrc2 (A)</t>
  </si>
  <si>
    <t>Total Pwr</t>
  </si>
  <si>
    <t>http://www.ma2life.org/doc/Common/Manhattan2_All_Research_Files/Manhattan2/Research_Lab/Glenn_Weinreb/300W_Converter/</t>
  </si>
  <si>
    <t>http://www.ma2life.org/doc/Common/Manhattan2_All_Research_Files/Manhattan2/Research_Lab/Glenn_Weinreb/85..265VAC_or_16..54VDC_to_3.3V_16mA_Converter/85..265VAC_or_16..54VDC_to_3.3V_16mA.pdf</t>
  </si>
  <si>
    <t>http://www.ma2life.org/doc/Common/Manhattan2_All_Research_Files/Manhattan2/Research_Lab/Glenn_Weinreb/85..265VAC_or_16..54VDC_to_3.3V_16mA_Converter/85..265VAC_or_16..54VDC_to_3.3V_16mA.TSC</t>
  </si>
  <si>
    <t>http://www.ma2life.org/doc/Common/Manhattan2_All_Research_Files/Manhattan2/Research_Lab/Glenn_Weinreb/85..265VAC_or_16..54VDC_to_3.3V_16mA_Converter/24..84Vin-to-14Vout_Lm5163_With_Triangle_Input.TSC</t>
  </si>
  <si>
    <t>http://www.ma2life.org/doc/Common/Manhattan2_All_Research_Files/Manhattan2/Research_Lab/Glenn_Weinreb/85..265VAC_or_16..54VDC_to_3.3V_16mA_Converter/Mp2459_55V_to_3.3V_30mA_Design_NOTES.docx</t>
  </si>
  <si>
    <t>http://www.ma2life.org/doc/Common/Manhattan2_All_Research_Files/Manhattan2/Research_Lab/Glenn_Weinreb/GWeinreb_Manhattan2_ResearchNotes.xlsx</t>
  </si>
  <si>
    <t>http://www.ma2life.org/doc/plan/Ma2_IOT_Development_Plan.pdf</t>
  </si>
  <si>
    <t>http://www.ma2life.org/doc/Common/Manhattan2_All_Research_Files/Manhattan2/Research_Lab/Glenn_Weinreb/85..265VAC_or_16..54VDC_to_3.3V_16mA_Converter/85..265VAC_or_16..54VDC_to_3.3V_16mA_COMPARATOR.pdf</t>
  </si>
  <si>
    <t>http://www.ma2life.org/doc/Common/Manhattan2_All_Research_Files/Manhattan2/Research_Lab/Glenn_Weinreb/85..265VAC_or_16..54VDC_to_3.3V_16mA_Converter/85..265VAC_or_16..54VDC_to_3.3V_16mA_COMPARATOR.TSC</t>
  </si>
  <si>
    <t>n</t>
  </si>
  <si>
    <t>TMP302BDRLR</t>
  </si>
  <si>
    <t>bought Mar 2020</t>
  </si>
  <si>
    <t>LCMXO3L-6900C-S-EVN</t>
  </si>
  <si>
    <t>MAX6070BAUT25</t>
  </si>
  <si>
    <t>R1SE-0505</t>
  </si>
  <si>
    <t>R1SE-0512</t>
  </si>
  <si>
    <t>ADM3050EBRWZ</t>
  </si>
  <si>
    <t>LMV324AIDR</t>
  </si>
  <si>
    <t>TLV9061SIDBVR</t>
  </si>
  <si>
    <t>NLAST4599DTT1G</t>
  </si>
  <si>
    <t>BSS123LT1G</t>
  </si>
  <si>
    <t>BC847BS</t>
  </si>
  <si>
    <t>BAS21LT1G</t>
  </si>
  <si>
    <t>BAS16XV2T1G</t>
  </si>
  <si>
    <t>CL31B225KBHNNNE</t>
  </si>
  <si>
    <t>CL21B106KPQNNNE</t>
  </si>
  <si>
    <t>ELD217, mouser</t>
  </si>
  <si>
    <t>amazon extension</t>
  </si>
  <si>
    <t>ref: https://www.amazon.com/dp/B07TC1L1FQ/ref=cm_sw_em_r_mt_dp_ifLRFbGBTRHYE?_encoding=UTF8&amp;psc=1</t>
  </si>
  <si>
    <t>bought digi Nov 2020</t>
  </si>
  <si>
    <t>use evm module</t>
  </si>
  <si>
    <t>buy mouser Nov 2020</t>
  </si>
  <si>
    <t>ti has these yet digi/mouser does not have this since it is a new part -- need replacement</t>
  </si>
  <si>
    <t>buy sat leaded</t>
  </si>
  <si>
    <t>have</t>
  </si>
  <si>
    <t>Bought 100 qty 2.2uF chip cap (leaded was $1 and chip was $0.20), #CL32B225KCJSNNE.        Also bought 20qty chip caps 2.2uF yet I need 41 qty for circuit.</t>
  </si>
  <si>
    <t>no stock digi/mous so we use the 33uH/1.1A version instead</t>
  </si>
  <si>
    <t>scrh125 not in stock so we use #SDR1307-471KL instead</t>
  </si>
  <si>
    <t>buy 1%</t>
  </si>
  <si>
    <t>hav 1%</t>
  </si>
  <si>
    <t>buy 0.5%</t>
  </si>
  <si>
    <t>hav 0.1%</t>
  </si>
  <si>
    <t>buy 0.1%</t>
  </si>
  <si>
    <t>Ma2-76,690</t>
  </si>
  <si>
    <t>buy 0.1% 6.98k instead of 6.9k</t>
  </si>
  <si>
    <t>buy 1% instead of 0.1%</t>
  </si>
  <si>
    <t>buy 5%</t>
  </si>
  <si>
    <t>use 100V version instead of 50V version and I have 100V version</t>
  </si>
  <si>
    <t>buy 1% (above)</t>
  </si>
  <si>
    <t>buy 1% SMT</t>
  </si>
  <si>
    <t>use wire</t>
  </si>
  <si>
    <t>use above</t>
  </si>
  <si>
    <t>4x NCP81075MNTXG (DFN-8, 4x4mm, 0.8mm pitch = 0.032") ship asap,   4x NCP81075MTTXG (WDFN-10) ship in 20 days,    the so-8 version is no stock digi/mouser</t>
  </si>
  <si>
    <t>DMT10H009SPS mouser, has 0.05" pitch and fits SO-8 footprint and pcb adaptor</t>
  </si>
  <si>
    <t>Power_TDFN8_new (Diodes Inc refers to this as "PowerDI5060-8", digikey calls it "8-PowerTDFN", Fits SO-8 like foot print w/ pad, #DMT10H009LK3-13 version is different package and is TO-252 and mouser has these)</t>
  </si>
  <si>
    <t>Power_VDFN_SOP_Advance, has 0.05" pitch and fits SO-8 footprint and pcb adaptor</t>
  </si>
  <si>
    <t>https://www.researchgate.net/profile/Teuvo_Suntio/publication/27516810_Current-Sourced_Buck_Converter/links/00b4952b2928cf2446000000/Current-Sourced-Buck-Converter.pdf</t>
  </si>
  <si>
    <t>Voltage Mode (C_out to right of L) vs Current Mode (C_out to left of L)</t>
  </si>
  <si>
    <t>https://www.ti.com/lit/an/snva829/snva829.pdf?ts=1605815727029&amp;ref_url=https%253A%252F%252Fwww.google.com%252F</t>
  </si>
  <si>
    <t>How to Design a Simple Constant Current/Constant Voltage Buck Converter (C_out to right of L in both cases)</t>
  </si>
  <si>
    <t>https://www.ti.com/lit/an/slua119/slua119.pdf?ts=1605886083659&amp;ref_url=https%253A%252F%252Fwww.google.com%252F</t>
  </si>
  <si>
    <t>Mixing Voltage mode and Current Mode</t>
  </si>
  <si>
    <t>Switching Power Supply Topology Voltage Mode vs. Current Mode</t>
  </si>
  <si>
    <t>Practical Feedback Loop Analysis for Current-Mode Boost Converter, SLVA636</t>
  </si>
  <si>
    <t>https://mountainscholar.org/bitstream/handle/10217/75301/Yao_colostate_0053N_11458.pdf?sequence=1</t>
  </si>
  <si>
    <t>MODELING AND DESIGN OF A CURRENT MODE CONTROL BOOST CONVERTER, Thesis</t>
  </si>
  <si>
    <t>Design tips for an efficient non-inverting buck-boost converter, slyt584</t>
  </si>
  <si>
    <t>(ALL OPTIONS, good)</t>
  </si>
  <si>
    <r>
      <t xml:space="preserve">Modules, Isolated, Non-Regulated, </t>
    </r>
    <r>
      <rPr>
        <b/>
        <sz val="11"/>
        <color rgb="FFFF0000"/>
        <rFont val="Calibri"/>
        <family val="2"/>
        <scheme val="minor"/>
      </rPr>
      <t>10</t>
    </r>
    <r>
      <rPr>
        <b/>
        <sz val="11"/>
        <color theme="6"/>
        <rFont val="Calibri"/>
        <family val="2"/>
        <scheme val="minor"/>
      </rPr>
      <t xml:space="preserve"> Watt, &lt; </t>
    </r>
    <r>
      <rPr>
        <b/>
        <sz val="11"/>
        <color rgb="FFFF0000"/>
        <rFont val="Calibri"/>
        <family val="2"/>
        <scheme val="minor"/>
      </rPr>
      <t>8</t>
    </r>
    <r>
      <rPr>
        <b/>
        <sz val="11"/>
        <color theme="6"/>
        <rFont val="Calibri"/>
        <family val="2"/>
        <scheme val="minor"/>
      </rPr>
      <t xml:space="preserve"> mm tall</t>
    </r>
  </si>
  <si>
    <r>
      <t xml:space="preserve">Modules, Isolated, Non-Regulated, </t>
    </r>
    <r>
      <rPr>
        <b/>
        <sz val="11"/>
        <color rgb="FFFF0000"/>
        <rFont val="Calibri"/>
        <family val="2"/>
        <scheme val="minor"/>
      </rPr>
      <t>1</t>
    </r>
    <r>
      <rPr>
        <b/>
        <sz val="11"/>
        <color theme="6"/>
        <rFont val="Calibri"/>
        <family val="2"/>
        <scheme val="minor"/>
      </rPr>
      <t xml:space="preserve"> Watt</t>
    </r>
  </si>
  <si>
    <t>Digi:</t>
  </si>
  <si>
    <t>https://www.digikey.com/en/products/filter/dc-dc-converters/922?s=N4IgjCBcoCwGxVAYygMwIYBsDOBTANCAPZQDaIATAMwCcMVIhM1AHAk2FQKzsjwswujPnAExh-eBJYAGGC2kyuMxTBoS4FOMw1auEQlwr0Fh4zAMguVAOwyKw6-0e2aDw1VkqPs91ZgyYJZcAWB%2BIYEMTHA8FEKGoaYiWlTeyTFR-jYswWpBjnl%2B8Fo2wSw86oYsNMrCYXE2DgC6hAAOAC5QIADK7QBOAJYAdgDmIAC%2BhGBGQtAgKJAYOATEZJR5pcIUMizZ4oTUgTxbqTQ7J9MyadSpbCAtIB1dvYOjEwdgu4iPnZAgAKpDAbtADyqAAsrh0NgAK59XDCGFdADqwgAtsMuvEQGj0AAPLoUByTSgUfJzBZLPCEEiQcgQB5PP4ASSG7VwI1wfXepK03yZAKBoIhUNh8MRXQAaujMX8wFcJiSEHMBgATLoAWnllgFwgAju0AJ5deUKwhG1oIv7QlDjcZAA</t>
  </si>
  <si>
    <t>https://www.digikey.com/en/products/detail/aimtec/AM10OW-2405SNZ-M/12458245</t>
  </si>
  <si>
    <t>AM10OW-2405SNZ-M</t>
  </si>
  <si>
    <t>10W</t>
  </si>
  <si>
    <t>9 to 36</t>
  </si>
  <si>
    <t>5V regulated</t>
  </si>
  <si>
    <t>6W</t>
  </si>
  <si>
    <t>2A</t>
  </si>
  <si>
    <t>&lt; 86%</t>
  </si>
  <si>
    <t>39.2mm x 20.8mm x 6.1mm</t>
  </si>
  <si>
    <t>ThruHole or SMT</t>
  </si>
  <si>
    <t>18 to 36</t>
  </si>
  <si>
    <t>1.2A</t>
  </si>
  <si>
    <t>https://www.digikey.com/en/products/detail/cui-inc/PYBJ6-D24-S5-OM/10263889</t>
  </si>
  <si>
    <t>PYBJ6-D24-S5-OM</t>
  </si>
  <si>
    <t>~ 83%</t>
  </si>
  <si>
    <t>31.6mm x 18.1mm x 6.3mm</t>
  </si>
  <si>
    <t>not used&gt;&gt;&gt;</t>
  </si>
  <si>
    <t>aimtec</t>
  </si>
  <si>
    <t>Ma2-26,508</t>
  </si>
  <si>
    <t>not yet purchased</t>
  </si>
  <si>
    <t>DcToDc: 32V_to_15V, 10W 1.5kV Isolated Regulated 39x21x6mm SMT</t>
  </si>
  <si>
    <t>nxp</t>
  </si>
  <si>
    <t>Ma2-26,512</t>
  </si>
  <si>
    <t>CANBus Tcvr: TJA1057GT/3, Vio Support, 5Mbps Not-Iso SO-8</t>
  </si>
  <si>
    <t>TJA1057GT/3J   ("/3" is needed, "GT/3" is ok, "GTJ" is bad)</t>
  </si>
  <si>
    <t>TJA1057GT3_CanBusNotIsoTcvr</t>
  </si>
  <si>
    <t>TSM-103-01-L-SV‎</t>
  </si>
  <si>
    <t>QPC02SXGN-RC‎</t>
  </si>
  <si>
    <t>need to buy</t>
  </si>
  <si>
    <r>
      <t xml:space="preserve">Res: 120ohm 200V 1% .25W </t>
    </r>
    <r>
      <rPr>
        <sz val="11"/>
        <rFont val="Calibri"/>
        <family val="2"/>
        <scheme val="minor"/>
      </rPr>
      <t>100ppm</t>
    </r>
    <r>
      <rPr>
        <sz val="11"/>
        <color theme="1"/>
        <rFont val="Calibri"/>
        <family val="2"/>
        <scheme val="minor"/>
      </rPr>
      <t xml:space="preserve"> </t>
    </r>
    <r>
      <rPr>
        <sz val="11"/>
        <color theme="9"/>
        <rFont val="Calibri"/>
        <family val="2"/>
        <scheme val="minor"/>
      </rPr>
      <t>1206</t>
    </r>
  </si>
  <si>
    <t>Ma2-92,312</t>
  </si>
  <si>
    <t>120 Ω</t>
  </si>
  <si>
    <t>RMCF1206FT120R</t>
  </si>
  <si>
    <t>https://www.digikey.com/short/z015nw</t>
  </si>
  <si>
    <t>Array Math: Two Layer Array, Each Layer has 1 Voltage source and 2 Current Sources</t>
  </si>
  <si>
    <t xml:space="preserve"> * Watts total from each row determines what percentage of total watts is allocated to each row. </t>
  </si>
  <si>
    <t xml:space="preserve"> * Calculate voltage across each row, which is proportional to the above, since current-per-row is constant.</t>
  </si>
  <si>
    <t xml:space="preserve"> * We now know voltage across each row, current total for each rows, and watts from each element.</t>
  </si>
  <si>
    <t xml:space="preserve"> * Watts-per-element is proportional to current-per-element, therefore, we can calculate current-per-element.</t>
  </si>
  <si>
    <t xml:space="preserve"> * Voltage source of each row needs to be set to voltage per row; current sources need to be set as needed.</t>
  </si>
  <si>
    <t xml:space="preserve"> * Calculate Watts for each row (i.e. sum of the above).</t>
  </si>
  <si>
    <t>Solve array given infinite load (i.e. grid) and maximize power out of each element given total voltage across array (e.g. 400V)</t>
  </si>
  <si>
    <t>Solve array given finite load (i.e. no grid to shed load), and reduce power at elements as needed</t>
  </si>
  <si>
    <t xml:space="preserve"> * Set total total output voltage to a constant (e.g. 400V)</t>
  </si>
  <si>
    <t xml:space="preserve"> * Measure maximum Watts from all array elements</t>
  </si>
  <si>
    <t xml:space="preserve"> * Similar to above, yet reduce watts per element as needed</t>
  </si>
  <si>
    <t>Buck</t>
  </si>
  <si>
    <t>Mode</t>
  </si>
  <si>
    <t>Left HB</t>
  </si>
  <si>
    <t>L_Left</t>
  </si>
  <si>
    <t>0 to 48V</t>
  </si>
  <si>
    <t>48 + 12 = 60</t>
  </si>
  <si>
    <r>
      <t>EarthGnd_SENSE</t>
    </r>
    <r>
      <rPr>
        <sz val="9"/>
        <color theme="9"/>
        <rFont val="Calibri"/>
        <family val="2"/>
        <scheme val="minor"/>
      </rPr>
      <t xml:space="preserve"> </t>
    </r>
    <r>
      <rPr>
        <sz val="9"/>
        <color theme="1"/>
        <rFont val="Calibri"/>
        <family val="2"/>
        <scheme val="minor"/>
      </rPr>
      <t>wrt COM, -400V to +20V</t>
    </r>
  </si>
  <si>
    <t>EarthGnd_Shield, -400V to +20V</t>
  </si>
  <si>
    <t>Column #1 Only</t>
  </si>
  <si>
    <t>Only Column #1 Row #1</t>
  </si>
  <si>
    <t>32V_PowerSupply+, -5V to 68V</t>
  </si>
  <si>
    <t>32V_PowerSupply-, -10V to +10V</t>
  </si>
  <si>
    <t>5V_ColumnPwr+, -10V to 10V</t>
  </si>
  <si>
    <t>HiPwrOn_OneColumn_OPTO+, -10V to +10V</t>
  </si>
  <si>
    <t>5V_RowPwr</t>
  </si>
  <si>
    <t>5V RowPwr Volts</t>
  </si>
  <si>
    <t xml:space="preserve">5V RowPwr on 3 x 24 gauge Wires (or 1x 18awg) </t>
  </si>
  <si>
    <t>32V_ColumnPwr</t>
  </si>
  <si>
    <t>(32V Array Power)</t>
  </si>
  <si>
    <t xml:space="preserve">32V_ColumnPwr+- on 3 x 24 gauge Wires (or 1x 18awg) </t>
  </si>
  <si>
    <t>voltage drop on 5V_RowPwr- wire, between two elements</t>
  </si>
  <si>
    <t>voltage drop on 5V_RowPwr- wire, between first and last element</t>
  </si>
  <si>
    <r>
      <t>Column #1 Row #1 unit measures:   32V_ColumnPwr</t>
    </r>
    <r>
      <rPr>
        <sz val="11"/>
        <color theme="1"/>
        <rFont val="Calibri"/>
        <family val="2"/>
      </rPr>
      <t>±</t>
    </r>
    <r>
      <rPr>
        <sz val="11"/>
        <color theme="1"/>
        <rFont val="Calibri"/>
        <family val="2"/>
        <scheme val="minor"/>
      </rPr>
      <t>,   5V_ColumnPwr±</t>
    </r>
  </si>
  <si>
    <t>Column #1 units measures:   EarthGnd_SENSE</t>
  </si>
  <si>
    <t>5V_RowPwr_Regulated+</t>
  </si>
  <si>
    <t>GATE_BypassMosfet</t>
  </si>
  <si>
    <t>Thermistor: 0, 1, 2, 3 (°C meas)</t>
  </si>
  <si>
    <t>Thermistor: 4, 5, 6 (°C meas)</t>
  </si>
  <si>
    <t>Bootstrap Circuit in the Buck Converter</t>
  </si>
  <si>
    <t>https://d1d2qsbl8m0m72.cloudfront.net/en/products/databook/applinote/ic/power/switching_regulator/boost%20behavior%20with%20bootstrap%20capacitance_an-e.pdf</t>
  </si>
  <si>
    <t>https://www.ti.com/lit/ds/symlink/ucc27282.pdf?ts=1606332319430&amp;ref_url=https%253A%252F%252Fwww.google.com%252F</t>
  </si>
  <si>
    <t>Selecting Cboot, UCC27282</t>
  </si>
  <si>
    <t>https://www.ti.com/lit/ds/symlink/ucc27714.pdf?ts=1606324747057</t>
  </si>
  <si>
    <t>Selecting Cboot and Rboot, UCC27714</t>
  </si>
  <si>
    <t>Cboot Capacitor &amp; Rboot Resistor</t>
  </si>
  <si>
    <t>https://www.analog.com/media/en/technical-documentation/data-sheets/lt8392.pdf</t>
  </si>
  <si>
    <t>Buck/Boost Converter IC, lt8392</t>
  </si>
  <si>
    <t>https://www.ti.com/lit/ds/symlink/tps55288.pdf?ts=1606347782345&amp;ref_url=https%253A%252F%252Fwww.google.com%252F</t>
  </si>
  <si>
    <t>Buck/Boost Converter IC, tps55288</t>
  </si>
  <si>
    <t>BZX84-C15,235 (10k reel, nexperia, 5% C, $0.017),       ZX84-C15,215 (3k reel, nexperia, $0.023)</t>
  </si>
  <si>
    <t>https://www.digikey.com/en/products/detail/nexperia-usa-inc/BZX84-C15235/1156061</t>
  </si>
  <si>
    <t>Ma2-28,615</t>
  </si>
  <si>
    <t>Zener: 15Vz 5% C .2W 100pF SOT23-3</t>
  </si>
  <si>
    <t>need to buy 15Vz (I have 18V yet do not need it)</t>
  </si>
  <si>
    <t xml:space="preserve"> &gt;&gt; "An internal charge path, from VOUT and BST2 to BST1 or from VIN and BST1 to BST2, charges the bootstrap capacitor to 4.6V so that the top MOSFET can be kept on."</t>
  </si>
  <si>
    <t xml:space="preserve"> &gt;&gt; "An internal charge path, from VOUT and BOOT2 to BOOT1 or from VIN and BOOT1 to BOOT2, charges the bootstrap capacitor to VCC so that the high-side MOSFET remains on."</t>
  </si>
  <si>
    <t>Charge Voltage</t>
  </si>
  <si>
    <t>R_Boot</t>
  </si>
  <si>
    <t>Max current while charging</t>
  </si>
  <si>
    <t>Math</t>
  </si>
  <si>
    <t>R_boot is resistor in series with C_boot and limits current into cap when caps charges</t>
  </si>
  <si>
    <t>Max R_Boot Watts while charging</t>
  </si>
  <si>
    <t>Gate Pwr When Buck/Boost is OFF</t>
  </si>
  <si>
    <t>An 100K ohm charge path, from VOUT and HB_Right to HB_Left or from VIN and HB_Left to HB_Right charges the bootstrap capacitor to 15Vz so that the top MOSFET can be kept on."</t>
  </si>
  <si>
    <r>
      <t xml:space="preserve">Res: 330mOhm </t>
    </r>
    <r>
      <rPr>
        <sz val="11"/>
        <color theme="9"/>
        <rFont val="Calibri"/>
        <family val="2"/>
        <scheme val="minor"/>
      </rPr>
      <t>5%</t>
    </r>
    <r>
      <rPr>
        <sz val="11"/>
        <color theme="1"/>
        <rFont val="Calibri"/>
        <family val="2"/>
        <scheme val="minor"/>
      </rPr>
      <t xml:space="preserve"> 1W 400ppm </t>
    </r>
    <r>
      <rPr>
        <sz val="11"/>
        <color theme="9"/>
        <rFont val="Calibri"/>
        <family val="2"/>
        <scheme val="minor"/>
      </rPr>
      <t>2512</t>
    </r>
  </si>
  <si>
    <t>2.2 Ω</t>
  </si>
  <si>
    <r>
      <t xml:space="preserve">5% 400ppm </t>
    </r>
    <r>
      <rPr>
        <sz val="11"/>
        <color theme="9"/>
        <rFont val="Calibri"/>
        <family val="2"/>
        <scheme val="minor"/>
      </rPr>
      <t>2512</t>
    </r>
  </si>
  <si>
    <t>Ma2-95,122</t>
  </si>
  <si>
    <r>
      <t xml:space="preserve">Res: 2.2ohm </t>
    </r>
    <r>
      <rPr>
        <sz val="11"/>
        <color theme="9"/>
        <rFont val="Calibri"/>
        <family val="2"/>
        <scheme val="minor"/>
      </rPr>
      <t>5%</t>
    </r>
    <r>
      <rPr>
        <sz val="11"/>
        <color theme="1"/>
        <rFont val="Calibri"/>
        <family val="2"/>
        <scheme val="minor"/>
      </rPr>
      <t xml:space="preserve"> 1W 400ppm </t>
    </r>
    <r>
      <rPr>
        <sz val="11"/>
        <color theme="9"/>
        <rFont val="Calibri"/>
        <family val="2"/>
        <scheme val="minor"/>
      </rPr>
      <t>2512</t>
    </r>
  </si>
  <si>
    <t>https://www.digikey.com/en/products/detail/stackpole-electronics-inc/RMCF2512JT2R20/1757006</t>
  </si>
  <si>
    <t>RMCF2512JT2R20 (4k reel, stackpole)</t>
  </si>
  <si>
    <t>approximation</t>
  </si>
  <si>
    <t>Mouser uses this</t>
  </si>
  <si>
    <t>C:\Program Files (x86)\SamacSys\Library Loader\</t>
  </si>
  <si>
    <t>SamacSys Library Loader</t>
  </si>
  <si>
    <t>https://www.samacsys.com/library-loader/</t>
  </si>
  <si>
    <t>I installed this on my computer, yet it crashes. Software is junk</t>
  </si>
  <si>
    <t>https://www.infineon.com/cms/en/product/packages/PG-TQFP/PG-TQFP-64-19/</t>
  </si>
  <si>
    <t>LQFP-64</t>
  </si>
  <si>
    <t>0.5mm (0.02") pitch</t>
  </si>
  <si>
    <t>Debug Connector</t>
  </si>
  <si>
    <t>https://www.infineon.com/dgdl/Infineon-XMC_Link_Board_Users_Manual.pdf-UM-v01_00-EN.pdf?fileId=5546d462518ffd850152451695e45edc</t>
  </si>
  <si>
    <t>Debugger Device (USB to 10-pin Cortex Debug Connector)</t>
  </si>
  <si>
    <t>https://www.infineon.com/dgdl/Infineon-ProductBrief_XMC_Link_Isolated_Debug_Probe.pdf-PB-v01_00-EN.pdf?fileId=5546d462518ffd85015245043db55e93</t>
  </si>
  <si>
    <t>Product Page</t>
  </si>
  <si>
    <t>https://www.digikey.com/en/products/detail/samtec-inc/FTS-105-01-L-DV/1110026</t>
  </si>
  <si>
    <t>Debug Connector, 2 x 5, 0.05" (1.27mm), Samtec #FTS-105-01-L-DV</t>
  </si>
  <si>
    <t>Ma2-12,215</t>
  </si>
  <si>
    <t>Cap: 15pF 50V 5% npo 125C 0603</t>
  </si>
  <si>
    <t xml:space="preserve">
CL10C150JB8NNNC (4k reel)</t>
  </si>
  <si>
    <t>https://www.digikey.com/en/products/detail/samsung-electro-mechanics/CL10C150JB8NNNC/3886954</t>
  </si>
  <si>
    <t>RMCF0603FT510R (10K reel, 100ppm/C, 1%, 0603)</t>
  </si>
  <si>
    <t>Ma2-90,351</t>
  </si>
  <si>
    <t>Res: 510ohm 75V 1% .06W 100ppm 0603</t>
  </si>
  <si>
    <t>Ma2-41,422</t>
  </si>
  <si>
    <t>https://www.digikey.com/en/products/detail/ecs-inc/ECS-120-8-33-RWY-TR/9648801</t>
  </si>
  <si>
    <t>example part #'s in Q100 and Q400: https://www.infineon.com/dgdl/Infineon-XMC4800_IoT_Amazon_FreeRTOS_Connectivity_kit-UM-v01_00-EN.pdf?fileId=5546d462689a790c016938e029b05616</t>
  </si>
  <si>
    <t>ECS-120-8-33-RWY-TR (ECS 3k reel, $0.25, 85C)</t>
  </si>
  <si>
    <t>https://www.digikey.com/en/products/detail/micro-crystal-ag/CM7V-T1A-32-768KHZ-12-5PF-10PPM-TA-QA/10499244</t>
  </si>
  <si>
    <t>ECS</t>
  </si>
  <si>
    <t>micro crystal ag</t>
  </si>
  <si>
    <t>CM7V-T1A-32.768KHZ-12.5PF-10PPM-TA-QA    (Micro Crystal, 12.5pF, 70K ohm, 3k reel, $.23, 10ppm at 85C)</t>
  </si>
  <si>
    <t>OSC-3.2x2.5mm_4pin</t>
  </si>
  <si>
    <t>OSC-3.2x1.5mm_2pin</t>
  </si>
  <si>
    <t>XTAL_3.2x2.5mm_4pin</t>
  </si>
  <si>
    <t>XTAL_3.2x1.5mm_2pin</t>
  </si>
  <si>
    <t>Ma2-41,433</t>
  </si>
  <si>
    <t>Xtal: 32.768KHz 12pF 20ppm 3.2x1.5mm SMT 2pin</t>
  </si>
  <si>
    <t>Xtal: 12MHz 8pF 100ohm 15ppm 3.2x2.5mm SMT 4pin</t>
  </si>
  <si>
    <t>samtec</t>
  </si>
  <si>
    <t>Ma2-25,510</t>
  </si>
  <si>
    <t>Ma2-26,230</t>
  </si>
  <si>
    <t>Ma2-26,231</t>
  </si>
  <si>
    <t>https://www.digikey.com/en/products/detail/samtec-inc/TSM-103-01-L-SV/2685552</t>
  </si>
  <si>
    <t>https://www.digikey.com/en/products/detail/sullins-connector-solutions/QPC02SXGN-RC/2618262?s=N4IgTCBcDaIIoAUDCAGMBlAGgcQHIFoAlJQOAIQBdAXyA</t>
  </si>
  <si>
    <t>sullins</t>
  </si>
  <si>
    <t>Jumper, gold, 3Amps</t>
  </si>
  <si>
    <t>Header, 3x1, 100mils, SMT, Gold, 3Amps, TSM-103-01-L-SV</t>
  </si>
  <si>
    <t>FTS-105-01-L-DV     (Do not place (DUP), used only with debugging)</t>
  </si>
  <si>
    <t>Do Not Place (DNP). This is only used when debugging.</t>
  </si>
  <si>
    <t>Connector: 2x5 Header, 1.27mm, SMT Rt Angle, FTS-105-01-L-DV</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</si>
</sst>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
    <numFmt numFmtId="166" formatCode="0.0"/>
    <numFmt numFmtId="167" formatCode="_(* #,##0_);_(* \(#,##0\);_(* &quot;-&quot;??_);_(@_)"/>
    <numFmt numFmtId="168" formatCode="_(* #,##0.00000_);_(* \(#,##0.00000\);_(* &quot;-&quot;??_);_(@_)"/>
    <numFmt numFmtId="169" formatCode="_(* #,##0.0_);_(* \(#,##0.0\);_(* &quot;-&quot;??_);_(@_)"/>
    <numFmt numFmtId="170" formatCode="_(* #,##0.000_);_(* \(#,##0.000\);_(* &quot;-&quot;??_);_(@_)"/>
    <numFmt numFmtId="171" formatCode="_(* #,##0.0000_);_(* \(#,##0.0000\);_(* &quot;-&quot;??_);_(@_)"/>
    <numFmt numFmtId="172" formatCode="_(&quot;$&quot;* #,##0.0_);_(&quot;$&quot;* \(#,##0.0\);_(&quot;$&quot;* &quot;-&quot;??_);_(@_)"/>
    <numFmt numFmtId="173" formatCode="_(&quot;$&quot;* #,##0_);_(&quot;$&quot;* \(#,##0\);_(&quot;$&quot;* &quot;-&quot;??_);_(@_)"/>
    <numFmt numFmtId="174" formatCode="0.0%"/>
    <numFmt numFmtId="175" formatCode="_(* #,##0.000000_);_(* \(#,##0.000000\);_(* &quot;-&quot;??_);_(@_)"/>
    <numFmt numFmtId="176" formatCode="_(&quot;$&quot;* #,##0.000_);_(&quot;$&quot;* \(#,##0.000\);_(&quot;$&quot;* &quot;-&quot;??_);_(@_)"/>
    <numFmt numFmtId="177" formatCode="#,##0.0_);\(#,##0.0\)"/>
    <numFmt numFmtId="178" formatCode="_(* #,##0_);_(* \(#,##0\);_(* &quot;-&quot;????_);_(@_)"/>
    <numFmt numFmtId="179" formatCode="0.000%"/>
    <numFmt numFmtId="180" formatCode="0.00000"/>
    <numFmt numFmtId="181" formatCode="_(&quot;$&quot;* #,##0.0000_);_(&quot;$&quot;* \(#,##0.0000\);_(&quot;$&quot;* &quot;-&quot;??_);_(@_)"/>
    <numFmt numFmtId="182" formatCode="#,##0.000"/>
    <numFmt numFmtId="183" formatCode="0.E+00"/>
    <numFmt numFmtId="184" formatCode="&quot;$&quot;#,##0.000_);[Red]\(&quot;$&quot;#,##0.000\)"/>
    <numFmt numFmtId="185" formatCode="#,##0.0"/>
    <numFmt numFmtId="186" formatCode="&quot;$&quot;#,##0"/>
    <numFmt numFmtId="187" formatCode="0.00_);[Red]\(0.00\)"/>
    <numFmt numFmtId="188" formatCode="0_);[Red]\(0\)"/>
    <numFmt numFmtId="189" formatCode="0_);\(0\)"/>
    <numFmt numFmtId="190" formatCode="&quot;$&quot;#,##0.00000"/>
    <numFmt numFmtId="191" formatCode="&quot;$&quot;#,##0.000000"/>
    <numFmt numFmtId="192" formatCode="0.0.E+00"/>
    <numFmt numFmtId="193" formatCode="#,##0.0_);[Red]\(#,##0.0\)"/>
    <numFmt numFmtId="194" formatCode="#,##0.0000"/>
    <numFmt numFmtId="195" formatCode="&quot;$&quot;#,##0.00"/>
    <numFmt numFmtId="196" formatCode="0.000000"/>
    <numFmt numFmtId="197" formatCode="0.00000000"/>
    <numFmt numFmtId="198" formatCode="#.000000;000.000"/>
    <numFmt numFmtId="199" formatCode="00,000"/>
  </numFmts>
  <fonts count="177" x14ac:knownFonts="1">
    <font>
      <sz val="11"/>
      <color theme="1"/>
      <name val="Calibri"/>
      <family val="2"/>
      <scheme val="minor"/>
    </font>
    <font>
      <u/>
      <sz val="11"/>
      <color theme="10"/>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b/>
      <sz val="11"/>
      <color theme="1"/>
      <name val="Calibri"/>
      <family val="2"/>
      <scheme val="minor"/>
    </font>
    <font>
      <sz val="8"/>
      <name val="Arial"/>
      <family val="2"/>
    </font>
    <font>
      <sz val="7"/>
      <name val="Arial"/>
      <family val="2"/>
    </font>
    <font>
      <sz val="11"/>
      <color theme="5" tint="0.39997558519241921"/>
      <name val="Calibri"/>
      <family val="2"/>
      <scheme val="minor"/>
    </font>
    <font>
      <b/>
      <sz val="14"/>
      <color rgb="FFFF0000"/>
      <name val="Calibri"/>
      <family val="2"/>
      <scheme val="minor"/>
    </font>
    <font>
      <b/>
      <sz val="14"/>
      <color rgb="FFFF0000"/>
      <name val="Tahoma"/>
      <family val="2"/>
    </font>
    <font>
      <sz val="11"/>
      <color theme="9" tint="-0.499984740745262"/>
      <name val="Calibri"/>
      <family val="2"/>
      <scheme val="minor"/>
    </font>
    <font>
      <b/>
      <sz val="11"/>
      <color theme="6"/>
      <name val="Calibri"/>
      <family val="2"/>
      <scheme val="minor"/>
    </font>
    <font>
      <b/>
      <sz val="11"/>
      <color theme="9"/>
      <name val="Calibri"/>
      <family val="2"/>
      <scheme val="minor"/>
    </font>
    <font>
      <b/>
      <sz val="11"/>
      <color theme="9" tint="-0.499984740745262"/>
      <name val="Calibri"/>
      <family val="2"/>
      <scheme val="minor"/>
    </font>
    <font>
      <sz val="11"/>
      <color theme="9"/>
      <name val="Calibri"/>
      <family val="2"/>
      <scheme val="minor"/>
    </font>
    <font>
      <b/>
      <sz val="14"/>
      <color theme="9"/>
      <name val="Calibri"/>
      <family val="2"/>
      <scheme val="minor"/>
    </font>
    <font>
      <sz val="11"/>
      <name val="Calibri"/>
      <family val="2"/>
      <scheme val="minor"/>
    </font>
    <font>
      <sz val="11"/>
      <color theme="1"/>
      <name val="Calibri"/>
      <family val="2"/>
    </font>
    <font>
      <sz val="10"/>
      <color theme="1"/>
      <name val="Calibri"/>
      <family val="2"/>
      <scheme val="minor"/>
    </font>
    <font>
      <sz val="9"/>
      <color theme="1"/>
      <name val="Calibri Light"/>
      <family val="2"/>
    </font>
    <font>
      <u/>
      <sz val="11"/>
      <color rgb="FFFF0000"/>
      <name val="Calibri"/>
      <family val="2"/>
      <scheme val="minor"/>
    </font>
    <font>
      <sz val="12"/>
      <color theme="1"/>
      <name val="Calibri"/>
      <family val="2"/>
      <scheme val="minor"/>
    </font>
    <font>
      <sz val="11"/>
      <color rgb="FFFF0000"/>
      <name val="Calibri"/>
      <family val="2"/>
      <scheme val="minor"/>
    </font>
    <font>
      <b/>
      <sz val="11"/>
      <color rgb="FFFF0000"/>
      <name val="Calibri"/>
      <family val="2"/>
      <scheme val="minor"/>
    </font>
    <font>
      <sz val="9"/>
      <color theme="9"/>
      <name val="Calibri"/>
      <family val="2"/>
      <scheme val="minor"/>
    </font>
    <font>
      <b/>
      <sz val="9"/>
      <color theme="6"/>
      <name val="Calibri"/>
      <family val="2"/>
      <scheme val="minor"/>
    </font>
    <font>
      <sz val="8"/>
      <color theme="1"/>
      <name val="Calibri Light"/>
      <family val="2"/>
    </font>
    <font>
      <b/>
      <sz val="11"/>
      <color rgb="FF0070C0"/>
      <name val="Calibri"/>
      <family val="2"/>
      <scheme val="minor"/>
    </font>
    <font>
      <b/>
      <sz val="11"/>
      <color theme="8"/>
      <name val="Calibri"/>
      <family val="2"/>
      <scheme val="minor"/>
    </font>
    <font>
      <b/>
      <sz val="11"/>
      <color theme="4"/>
      <name val="Calibri"/>
      <family val="2"/>
      <scheme val="minor"/>
    </font>
    <font>
      <sz val="11"/>
      <color rgb="FFFF0000"/>
      <name val="Calibri Light"/>
      <family val="2"/>
    </font>
    <font>
      <sz val="11"/>
      <color theme="6"/>
      <name val="Calibri"/>
      <family val="2"/>
      <scheme val="minor"/>
    </font>
    <font>
      <sz val="10"/>
      <color theme="1"/>
      <name val="Calibri Light"/>
      <family val="2"/>
    </font>
    <font>
      <sz val="11"/>
      <color theme="8"/>
      <name val="Calibri"/>
      <family val="2"/>
      <scheme val="minor"/>
    </font>
    <font>
      <sz val="14"/>
      <color rgb="FFFF0000"/>
      <name val="Calibri"/>
      <family val="2"/>
      <scheme val="minor"/>
    </font>
    <font>
      <i/>
      <sz val="11"/>
      <name val="Calibri"/>
      <family val="2"/>
      <scheme val="minor"/>
    </font>
    <font>
      <sz val="11"/>
      <color theme="5"/>
      <name val="Calibri"/>
      <family val="2"/>
      <scheme val="minor"/>
    </font>
    <font>
      <sz val="9"/>
      <color theme="1"/>
      <name val="Calibri"/>
      <family val="2"/>
    </font>
    <font>
      <b/>
      <sz val="11"/>
      <color theme="7"/>
      <name val="Calibri"/>
      <family val="2"/>
      <scheme val="minor"/>
    </font>
    <font>
      <sz val="11"/>
      <color rgb="FF7030A0"/>
      <name val="Calibri"/>
      <family val="2"/>
      <scheme val="minor"/>
    </font>
    <font>
      <sz val="11"/>
      <color theme="0" tint="-0.499984740745262"/>
      <name val="Calibri"/>
      <family val="2"/>
      <scheme val="minor"/>
    </font>
    <font>
      <b/>
      <vertAlign val="subscript"/>
      <sz val="11"/>
      <color theme="6"/>
      <name val="Calibri"/>
      <family val="2"/>
      <scheme val="minor"/>
    </font>
    <font>
      <b/>
      <sz val="10"/>
      <color indexed="17"/>
      <name val="Arial"/>
      <family val="2"/>
    </font>
    <font>
      <sz val="10"/>
      <name val="Arial"/>
      <family val="2"/>
    </font>
    <font>
      <sz val="10"/>
      <color indexed="62"/>
      <name val="Arial"/>
      <family val="2"/>
    </font>
    <font>
      <sz val="10"/>
      <color indexed="10"/>
      <name val="Arial"/>
      <family val="2"/>
    </font>
    <font>
      <sz val="9"/>
      <name val="Arial"/>
      <family val="2"/>
    </font>
    <font>
      <b/>
      <sz val="10"/>
      <color theme="6"/>
      <name val="Calibri"/>
      <family val="2"/>
      <scheme val="minor"/>
    </font>
    <font>
      <u/>
      <sz val="11"/>
      <color theme="6"/>
      <name val="Calibri"/>
      <family val="2"/>
      <scheme val="minor"/>
    </font>
    <font>
      <sz val="12"/>
      <color theme="1"/>
      <name val="Calibri Light"/>
      <family val="2"/>
    </font>
    <font>
      <sz val="11"/>
      <color theme="1"/>
      <name val="Calibri Light"/>
      <family val="2"/>
    </font>
    <font>
      <i/>
      <sz val="11"/>
      <color theme="5" tint="-0.249977111117893"/>
      <name val="Calibri"/>
      <family val="2"/>
      <scheme val="minor"/>
    </font>
    <font>
      <i/>
      <u/>
      <sz val="11"/>
      <color theme="6"/>
      <name val="Calibri"/>
      <family val="2"/>
      <scheme val="minor"/>
    </font>
    <font>
      <u/>
      <sz val="11"/>
      <color theme="1"/>
      <name val="Calibri"/>
      <family val="2"/>
      <scheme val="minor"/>
    </font>
    <font>
      <i/>
      <sz val="11"/>
      <color theme="1"/>
      <name val="Calibri"/>
      <family val="2"/>
      <scheme val="minor"/>
    </font>
    <font>
      <sz val="9"/>
      <color theme="9"/>
      <name val="Calibri Light"/>
      <family val="2"/>
    </font>
    <font>
      <sz val="11"/>
      <color rgb="FF00B0F0"/>
      <name val="Calibri"/>
      <family val="2"/>
      <scheme val="minor"/>
    </font>
    <font>
      <u/>
      <sz val="9"/>
      <color theme="10"/>
      <name val="Calibri Light"/>
      <family val="2"/>
    </font>
    <font>
      <u/>
      <sz val="12"/>
      <color theme="10"/>
      <name val="Calibri"/>
      <family val="2"/>
      <scheme val="minor"/>
    </font>
    <font>
      <strike/>
      <sz val="11"/>
      <color theme="1"/>
      <name val="Calibri"/>
      <family val="2"/>
      <scheme val="minor"/>
    </font>
    <font>
      <sz val="9"/>
      <color theme="1"/>
      <name val="Courier New"/>
      <family val="3"/>
    </font>
    <font>
      <sz val="11"/>
      <color theme="1"/>
      <name val="Courier New"/>
      <family val="3"/>
    </font>
    <font>
      <sz val="6"/>
      <color rgb="FF000000"/>
      <name val="Arial"/>
      <family val="2"/>
    </font>
    <font>
      <i/>
      <sz val="9"/>
      <color theme="0" tint="-0.34998626667073579"/>
      <name val="Calibri Light"/>
      <family val="2"/>
    </font>
    <font>
      <sz val="9"/>
      <name val="Calibri Light"/>
      <family val="2"/>
    </font>
    <font>
      <sz val="10"/>
      <name val="Calibri Light"/>
      <family val="2"/>
    </font>
    <font>
      <i/>
      <sz val="11"/>
      <color theme="1"/>
      <name val="Calibri Light"/>
      <family val="2"/>
    </font>
    <font>
      <sz val="8"/>
      <color rgb="FFFF0000"/>
      <name val="Arial"/>
      <family val="2"/>
    </font>
    <font>
      <sz val="11"/>
      <color theme="0" tint="-0.34998626667073579"/>
      <name val="Calibri"/>
      <family val="2"/>
      <scheme val="minor"/>
    </font>
    <font>
      <u/>
      <sz val="11"/>
      <color theme="9" tint="-0.499984740745262"/>
      <name val="Calibri"/>
      <family val="2"/>
      <scheme val="minor"/>
    </font>
    <font>
      <sz val="11"/>
      <color theme="9" tint="-0.249977111117893"/>
      <name val="Calibri"/>
      <family val="2"/>
      <scheme val="minor"/>
    </font>
    <font>
      <u/>
      <sz val="11"/>
      <color theme="6"/>
      <name val="Calibri"/>
      <family val="2"/>
    </font>
    <font>
      <i/>
      <sz val="11"/>
      <color theme="0" tint="-0.34998626667073579"/>
      <name val="Calibri"/>
      <family val="2"/>
      <scheme val="minor"/>
    </font>
    <font>
      <sz val="9"/>
      <color rgb="FF00B0F0"/>
      <name val="Calibri Light"/>
      <family val="2"/>
    </font>
    <font>
      <i/>
      <sz val="9"/>
      <color theme="1"/>
      <name val="Calibri Light"/>
      <family val="2"/>
    </font>
    <font>
      <i/>
      <sz val="9"/>
      <color theme="9"/>
      <name val="Calibri Light"/>
      <family val="2"/>
    </font>
    <font>
      <b/>
      <i/>
      <sz val="9"/>
      <color theme="6"/>
      <name val="Calibri Light"/>
      <family val="2"/>
    </font>
    <font>
      <i/>
      <u/>
      <sz val="9"/>
      <color theme="10"/>
      <name val="Calibri Light"/>
      <family val="2"/>
    </font>
    <font>
      <b/>
      <sz val="11"/>
      <color theme="6"/>
      <name val="Calibri"/>
      <family val="2"/>
    </font>
    <font>
      <sz val="9.9"/>
      <color theme="1"/>
      <name val="Calibri"/>
      <family val="2"/>
    </font>
    <font>
      <u/>
      <sz val="9"/>
      <color theme="10"/>
      <name val="Calibri"/>
      <family val="2"/>
    </font>
    <font>
      <u/>
      <sz val="11"/>
      <color theme="6"/>
      <name val="Calibri Light"/>
      <family val="2"/>
    </font>
    <font>
      <sz val="9"/>
      <color theme="9" tint="-0.249977111117893"/>
      <name val="Calibri Light"/>
      <family val="2"/>
    </font>
    <font>
      <sz val="11"/>
      <name val="Calibri Light"/>
      <family val="2"/>
    </font>
    <font>
      <i/>
      <u/>
      <sz val="11"/>
      <color theme="5" tint="-0.249977111117893"/>
      <name val="Calibri"/>
      <family val="2"/>
      <scheme val="minor"/>
    </font>
    <font>
      <i/>
      <sz val="11"/>
      <color theme="2" tint="-0.499984740745262"/>
      <name val="Calibri"/>
      <family val="2"/>
      <scheme val="minor"/>
    </font>
    <font>
      <sz val="9"/>
      <color theme="0" tint="-0.499984740745262"/>
      <name val="Calibri Light"/>
      <family val="2"/>
    </font>
    <font>
      <sz val="9"/>
      <color rgb="FFFF0000"/>
      <name val="Calibri Light"/>
      <family val="2"/>
    </font>
    <font>
      <u/>
      <sz val="11"/>
      <name val="Calibri"/>
      <family val="2"/>
      <scheme val="minor"/>
    </font>
    <font>
      <b/>
      <i/>
      <sz val="11"/>
      <color rgb="FFFF0000"/>
      <name val="Calibri"/>
      <family val="2"/>
      <scheme val="minor"/>
    </font>
    <font>
      <i/>
      <sz val="11"/>
      <color rgb="FFFF0000"/>
      <name val="Calibri"/>
      <family val="2"/>
      <scheme val="minor"/>
    </font>
    <font>
      <sz val="9"/>
      <name val="Calibri"/>
      <family val="2"/>
      <scheme val="minor"/>
    </font>
    <font>
      <sz val="11"/>
      <color theme="2" tint="-0.499984740745262"/>
      <name val="Calibri Light"/>
      <family val="2"/>
    </font>
    <font>
      <b/>
      <sz val="12"/>
      <color rgb="FF333333"/>
      <name val="Arial"/>
      <family val="2"/>
    </font>
    <font>
      <b/>
      <sz val="11"/>
      <color theme="6"/>
      <name val="Calibri Light"/>
      <family val="2"/>
    </font>
    <font>
      <sz val="10"/>
      <color theme="9"/>
      <name val="Calibri Light"/>
      <family val="2"/>
    </font>
    <font>
      <b/>
      <sz val="10"/>
      <color theme="6"/>
      <name val="Calibri Light"/>
      <family val="2"/>
    </font>
    <font>
      <sz val="10"/>
      <color rgb="FFFF0000"/>
      <name val="Calibri Light"/>
      <family val="2"/>
    </font>
    <font>
      <u/>
      <sz val="10"/>
      <color theme="10"/>
      <name val="Calibri Light"/>
      <family val="2"/>
    </font>
    <font>
      <b/>
      <sz val="9"/>
      <color theme="6"/>
      <name val="Calibri Light"/>
      <family val="2"/>
    </font>
    <font>
      <sz val="8"/>
      <color rgb="FFFF0000"/>
      <name val="Calibri Light"/>
      <family val="2"/>
    </font>
    <font>
      <sz val="11"/>
      <color rgb="FF00B050"/>
      <name val="Calibri"/>
      <family val="2"/>
      <scheme val="minor"/>
    </font>
    <font>
      <i/>
      <sz val="9"/>
      <color rgb="FFFF0000"/>
      <name val="Calibri Light"/>
      <family val="2"/>
    </font>
    <font>
      <u/>
      <sz val="11"/>
      <color theme="6" tint="-0.249977111117893"/>
      <name val="Calibri Light"/>
      <family val="2"/>
    </font>
    <font>
      <sz val="10"/>
      <color theme="6" tint="-0.249977111117893"/>
      <name val="Calibri Light"/>
      <family val="2"/>
    </font>
    <font>
      <vertAlign val="subscript"/>
      <sz val="11"/>
      <color theme="1"/>
      <name val="Calibri"/>
      <family val="2"/>
      <scheme val="minor"/>
    </font>
    <font>
      <vertAlign val="superscript"/>
      <sz val="11"/>
      <color theme="1"/>
      <name val="Calibri"/>
      <family val="2"/>
      <scheme val="minor"/>
    </font>
    <font>
      <sz val="11"/>
      <color theme="0" tint="-0.249977111117893"/>
      <name val="Calibri"/>
      <family val="2"/>
      <scheme val="minor"/>
    </font>
    <font>
      <sz val="9"/>
      <color theme="0" tint="-0.249977111117893"/>
      <name val="Calibri Light"/>
      <family val="2"/>
    </font>
    <font>
      <u/>
      <sz val="11"/>
      <color theme="0" tint="-0.249977111117893"/>
      <name val="Calibri"/>
      <family val="2"/>
      <scheme val="minor"/>
    </font>
    <font>
      <sz val="9"/>
      <color theme="0" tint="-0.249977111117893"/>
      <name val="Calibri"/>
      <family val="2"/>
    </font>
    <font>
      <b/>
      <sz val="11"/>
      <color theme="0" tint="-0.249977111117893"/>
      <name val="Calibri"/>
      <family val="2"/>
      <scheme val="minor"/>
    </font>
    <font>
      <i/>
      <sz val="9"/>
      <color theme="0" tint="-0.249977111117893"/>
      <name val="Calibri Light"/>
      <family val="2"/>
    </font>
    <font>
      <sz val="9"/>
      <color theme="0" tint="-0.249977111117893"/>
      <name val="Calibri"/>
      <family val="2"/>
      <scheme val="minor"/>
    </font>
    <font>
      <sz val="11"/>
      <color theme="5" tint="-0.249977111117893"/>
      <name val="Calibri"/>
      <family val="2"/>
      <scheme val="minor"/>
    </font>
    <font>
      <vertAlign val="subscript"/>
      <sz val="11"/>
      <color theme="1"/>
      <name val="Calibri"/>
      <family val="2"/>
    </font>
    <font>
      <vertAlign val="superscript"/>
      <sz val="11"/>
      <color theme="1"/>
      <name val="Calibri"/>
      <family val="2"/>
    </font>
    <font>
      <b/>
      <sz val="9"/>
      <color theme="1"/>
      <name val="Calibri Light"/>
      <family val="2"/>
    </font>
    <font>
      <i/>
      <sz val="9"/>
      <color theme="5" tint="-0.249977111117893"/>
      <name val="Calibri Light"/>
      <family val="2"/>
    </font>
    <font>
      <vertAlign val="subscript"/>
      <sz val="9"/>
      <color theme="1"/>
      <name val="Calibri Light"/>
      <family val="2"/>
    </font>
    <font>
      <sz val="11"/>
      <color theme="6"/>
      <name val="Calibri Light"/>
      <family val="2"/>
    </font>
    <font>
      <sz val="9"/>
      <color theme="6"/>
      <name val="Calibri Light"/>
      <family val="2"/>
    </font>
    <font>
      <sz val="9"/>
      <color rgb="FFFF0000"/>
      <name val="Calibri"/>
      <family val="2"/>
    </font>
    <font>
      <sz val="11"/>
      <color rgb="FFCCCCFF"/>
      <name val="Calibri"/>
      <family val="2"/>
      <scheme val="minor"/>
    </font>
    <font>
      <i/>
      <sz val="9"/>
      <color theme="5" tint="0.39997558519241921"/>
      <name val="Calibri Light"/>
      <family val="2"/>
    </font>
    <font>
      <sz val="11"/>
      <color theme="9" tint="-0.499984740745262"/>
      <name val="Calibri Light"/>
      <family val="2"/>
    </font>
    <font>
      <sz val="9"/>
      <color theme="9" tint="-0.249977111117893"/>
      <name val="Calibri"/>
      <family val="2"/>
      <scheme val="minor"/>
    </font>
    <font>
      <b/>
      <sz val="11"/>
      <color theme="9"/>
      <name val="Calibri"/>
      <family val="2"/>
    </font>
    <font>
      <sz val="11"/>
      <color theme="2" tint="-0.499984740745262"/>
      <name val="Calibri"/>
      <family val="2"/>
      <scheme val="minor"/>
    </font>
    <font>
      <b/>
      <sz val="11"/>
      <color theme="2" tint="-0.499984740745262"/>
      <name val="Calibri"/>
      <family val="2"/>
      <scheme val="minor"/>
    </font>
    <font>
      <i/>
      <sz val="11"/>
      <color theme="0" tint="-0.499984740745262"/>
      <name val="Calibri"/>
      <family val="2"/>
      <scheme val="minor"/>
    </font>
    <font>
      <sz val="11"/>
      <color theme="6" tint="-0.499984740745262"/>
      <name val="Calibri"/>
      <family val="2"/>
      <scheme val="minor"/>
    </font>
    <font>
      <sz val="11"/>
      <color theme="6" tint="-0.499984740745262"/>
      <name val="Calibri Light"/>
      <family val="2"/>
    </font>
    <font>
      <sz val="9"/>
      <color rgb="FF7030A0"/>
      <name val="Calibri Light"/>
      <family val="2"/>
    </font>
    <font>
      <sz val="9"/>
      <color rgb="FF7030A0"/>
      <name val="Calibri"/>
      <family val="2"/>
    </font>
    <font>
      <sz val="9"/>
      <name val="Calibri"/>
      <family val="2"/>
    </font>
    <font>
      <sz val="11"/>
      <color theme="0" tint="-0.34998626667073579"/>
      <name val="Calibri"/>
      <family val="2"/>
    </font>
    <font>
      <sz val="9"/>
      <color theme="0" tint="-0.34998626667073579"/>
      <name val="Calibri"/>
      <family val="2"/>
    </font>
    <font>
      <b/>
      <sz val="11"/>
      <color rgb="FF00B0F0"/>
      <name val="Calibri"/>
      <family val="2"/>
      <scheme val="minor"/>
    </font>
    <font>
      <u/>
      <sz val="11"/>
      <color theme="9" tint="-0.499984740745262"/>
      <name val="Calibri"/>
      <family val="2"/>
    </font>
    <font>
      <u/>
      <sz val="11"/>
      <color theme="9" tint="-0.499984740745262"/>
      <name val="Calibri Light"/>
      <family val="2"/>
    </font>
    <font>
      <sz val="11"/>
      <color theme="9" tint="-0.499984740745262"/>
      <name val="Calibri"/>
      <family val="2"/>
    </font>
    <font>
      <i/>
      <u/>
      <sz val="11"/>
      <color theme="9" tint="-0.499984740745262"/>
      <name val="Calibri"/>
      <family val="2"/>
      <scheme val="minor"/>
    </font>
    <font>
      <i/>
      <sz val="11"/>
      <color theme="9" tint="-0.499984740745262"/>
      <name val="Calibri"/>
      <family val="2"/>
      <scheme val="minor"/>
    </font>
    <font>
      <i/>
      <sz val="11"/>
      <color theme="1"/>
      <name val="Calibri"/>
      <family val="2"/>
    </font>
    <font>
      <sz val="12"/>
      <color theme="1"/>
      <name val="Times New Roman"/>
      <family val="1"/>
    </font>
    <font>
      <sz val="11"/>
      <color rgb="FF0070C0"/>
      <name val="Calibri"/>
      <family val="2"/>
      <scheme val="minor"/>
    </font>
    <font>
      <sz val="11"/>
      <name val="Calibri"/>
      <family val="2"/>
    </font>
    <font>
      <b/>
      <sz val="8"/>
      <color rgb="FF0070C0"/>
      <name val="Calibri"/>
      <family val="2"/>
      <scheme val="minor"/>
    </font>
    <font>
      <sz val="10"/>
      <color theme="6" tint="-0.499984740745262"/>
      <name val="Calibri Light"/>
      <family val="2"/>
    </font>
    <font>
      <i/>
      <sz val="11"/>
      <color theme="6"/>
      <name val="Calibri"/>
      <family val="2"/>
      <scheme val="minor"/>
    </font>
    <font>
      <sz val="10"/>
      <name val="Courier New"/>
      <family val="3"/>
    </font>
    <font>
      <sz val="10"/>
      <color theme="1"/>
      <name val="Courier New"/>
      <family val="3"/>
    </font>
    <font>
      <b/>
      <sz val="9"/>
      <color theme="4"/>
      <name val="Calibri Light"/>
      <family val="2"/>
    </font>
    <font>
      <sz val="9"/>
      <color rgb="FF0070C0"/>
      <name val="Calibri"/>
      <family val="2"/>
      <scheme val="minor"/>
    </font>
    <font>
      <b/>
      <sz val="9"/>
      <color rgb="FF0070C0"/>
      <name val="Calibri Light"/>
      <family val="2"/>
    </font>
    <font>
      <vertAlign val="subscript"/>
      <sz val="11"/>
      <color theme="5"/>
      <name val="Calibri"/>
      <family val="2"/>
      <scheme val="minor"/>
    </font>
    <font>
      <sz val="10"/>
      <color theme="6"/>
      <name val="Calibri"/>
      <family val="2"/>
      <scheme val="minor"/>
    </font>
    <font>
      <sz val="11"/>
      <color theme="5"/>
      <name val="Calibri Light"/>
      <family val="2"/>
    </font>
    <font>
      <sz val="11"/>
      <color theme="6"/>
      <name val="Calibri"/>
      <family val="2"/>
    </font>
    <font>
      <strike/>
      <sz val="9"/>
      <color theme="1"/>
      <name val="Calibri Light"/>
      <family val="2"/>
    </font>
    <font>
      <strike/>
      <u/>
      <sz val="11"/>
      <color theme="10"/>
      <name val="Calibri"/>
      <family val="2"/>
      <scheme val="minor"/>
    </font>
    <font>
      <u/>
      <sz val="11"/>
      <color theme="10"/>
      <name val="Calibri"/>
      <family val="2"/>
    </font>
    <font>
      <i/>
      <sz val="10"/>
      <color theme="1"/>
      <name val="Calibri"/>
      <family val="2"/>
      <scheme val="minor"/>
    </font>
    <font>
      <b/>
      <sz val="11"/>
      <color theme="5" tint="-0.249977111117893"/>
      <name val="Calibri"/>
      <family val="2"/>
      <scheme val="minor"/>
    </font>
    <font>
      <strike/>
      <sz val="9"/>
      <color theme="0" tint="-0.499984740745262"/>
      <name val="Calibri Light"/>
      <family val="2"/>
    </font>
    <font>
      <u/>
      <sz val="11"/>
      <color theme="0" tint="-0.499984740745262"/>
      <name val="Calibri"/>
      <family val="2"/>
      <scheme val="minor"/>
    </font>
    <font>
      <sz val="10"/>
      <color theme="1"/>
      <name val="Times New Roman"/>
      <family val="1"/>
    </font>
    <font>
      <sz val="11"/>
      <color theme="5" tint="-0.249977111117893"/>
      <name val="Calibri Light"/>
      <family val="2"/>
    </font>
    <font>
      <strike/>
      <sz val="10"/>
      <name val="Arial"/>
      <family val="2"/>
    </font>
    <font>
      <strike/>
      <sz val="11"/>
      <color theme="5"/>
      <name val="Calibri"/>
      <family val="2"/>
      <scheme val="minor"/>
    </font>
    <font>
      <strike/>
      <sz val="11"/>
      <name val="Calibri"/>
      <family val="2"/>
      <scheme val="minor"/>
    </font>
    <font>
      <sz val="11"/>
      <color theme="7"/>
      <name val="Calibri"/>
      <family val="2"/>
      <scheme val="minor"/>
    </font>
    <font>
      <sz val="11"/>
      <color theme="6" tint="0.79998168889431442"/>
      <name val="Calibri"/>
      <family val="2"/>
      <scheme val="minor"/>
    </font>
    <font>
      <b/>
      <sz val="10"/>
      <color theme="8"/>
      <name val="Arial"/>
      <family val="2"/>
    </font>
    <font>
      <sz val="12"/>
      <name val="Calibri Light"/>
      <family val="2"/>
    </font>
  </fonts>
  <fills count="6">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0000"/>
        <bgColor indexed="64"/>
      </patternFill>
    </fill>
  </fills>
  <borders count="22">
    <border>
      <left/>
      <right/>
      <top/>
      <bottom/>
      <diagonal/>
    </border>
    <border>
      <left/>
      <right/>
      <top/>
      <bottom style="thin">
        <color indexed="64"/>
      </bottom>
      <diagonal/>
    </border>
    <border>
      <left style="medium">
        <color indexed="64"/>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994">
    <xf numFmtId="0" fontId="0" fillId="0" borderId="0" xfId="0"/>
    <xf numFmtId="0" fontId="1" fillId="0" borderId="0" xfId="1"/>
    <xf numFmtId="0" fontId="0" fillId="0" borderId="0" xfId="0" applyFill="1"/>
    <xf numFmtId="0" fontId="0" fillId="0" borderId="0" xfId="0" applyAlignment="1">
      <alignment horizontal="center"/>
    </xf>
    <xf numFmtId="0" fontId="0" fillId="0" borderId="1" xfId="0" applyBorder="1"/>
    <xf numFmtId="0" fontId="0" fillId="2" borderId="0" xfId="0" applyFill="1"/>
    <xf numFmtId="0" fontId="1" fillId="0" borderId="0" xfId="1" applyAlignment="1">
      <alignment vertical="center"/>
    </xf>
    <xf numFmtId="0" fontId="0" fillId="0" borderId="0" xfId="0" applyBorder="1"/>
    <xf numFmtId="44" fontId="0" fillId="0" borderId="0" xfId="2" applyFont="1"/>
    <xf numFmtId="44" fontId="0" fillId="0" borderId="0" xfId="0" applyNumberFormat="1"/>
    <xf numFmtId="164" fontId="0" fillId="0" borderId="0" xfId="0" applyNumberFormat="1"/>
    <xf numFmtId="165" fontId="0" fillId="0" borderId="0" xfId="0" applyNumberFormat="1"/>
    <xf numFmtId="2" fontId="0" fillId="0" borderId="0" xfId="0" applyNumberFormat="1"/>
    <xf numFmtId="166" fontId="0" fillId="0" borderId="0" xfId="0" applyNumberFormat="1"/>
    <xf numFmtId="0" fontId="3" fillId="0" borderId="0" xfId="0" applyFont="1"/>
    <xf numFmtId="1" fontId="0" fillId="0" borderId="0" xfId="0" applyNumberFormat="1"/>
    <xf numFmtId="166" fontId="0" fillId="0" borderId="0" xfId="0" applyNumberFormat="1" applyAlignment="1">
      <alignment horizontal="right"/>
    </xf>
    <xf numFmtId="9" fontId="0" fillId="0" borderId="0" xfId="4" applyFont="1"/>
    <xf numFmtId="164" fontId="0" fillId="0" borderId="1" xfId="0" applyNumberFormat="1" applyBorder="1"/>
    <xf numFmtId="0" fontId="0" fillId="0" borderId="0" xfId="0" applyFill="1" applyBorder="1"/>
    <xf numFmtId="167" fontId="2" fillId="0" borderId="0" xfId="3" applyNumberFormat="1" applyFont="1"/>
    <xf numFmtId="0" fontId="1" fillId="0" borderId="0" xfId="1" applyFill="1"/>
    <xf numFmtId="11" fontId="0" fillId="0" borderId="0" xfId="0" applyNumberFormat="1"/>
    <xf numFmtId="167" fontId="4" fillId="0" borderId="0" xfId="3" applyNumberFormat="1" applyFont="1"/>
    <xf numFmtId="167" fontId="3" fillId="0" borderId="0" xfId="3" applyNumberFormat="1" applyFont="1"/>
    <xf numFmtId="43" fontId="0" fillId="0" borderId="0" xfId="3" applyFont="1"/>
    <xf numFmtId="168" fontId="2" fillId="0" borderId="0" xfId="3" applyNumberFormat="1" applyFont="1"/>
    <xf numFmtId="169" fontId="2" fillId="0" borderId="0" xfId="3" applyNumberFormat="1" applyFont="1"/>
    <xf numFmtId="43" fontId="2" fillId="0" borderId="0" xfId="3" applyNumberFormat="1" applyFont="1"/>
    <xf numFmtId="171" fontId="2" fillId="0" borderId="0" xfId="3" applyNumberFormat="1" applyFont="1"/>
    <xf numFmtId="44" fontId="2" fillId="0" borderId="0" xfId="2" applyFont="1"/>
    <xf numFmtId="167" fontId="0" fillId="0" borderId="0" xfId="3" applyNumberFormat="1" applyFont="1"/>
    <xf numFmtId="167" fontId="5" fillId="0" borderId="0" xfId="3" applyNumberFormat="1" applyFont="1"/>
    <xf numFmtId="172" fontId="2" fillId="0" borderId="0" xfId="2" applyNumberFormat="1" applyFont="1"/>
    <xf numFmtId="173" fontId="2" fillId="0" borderId="0" xfId="2" applyNumberFormat="1" applyFont="1"/>
    <xf numFmtId="174" fontId="2" fillId="0" borderId="0" xfId="4" applyNumberFormat="1" applyFont="1"/>
    <xf numFmtId="174" fontId="0" fillId="0" borderId="0" xfId="4" applyNumberFormat="1" applyFont="1"/>
    <xf numFmtId="44" fontId="2" fillId="0" borderId="0" xfId="2" applyNumberFormat="1" applyFont="1"/>
    <xf numFmtId="0" fontId="6" fillId="0" borderId="0"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0" fillId="0" borderId="6" xfId="0" applyBorder="1"/>
    <xf numFmtId="169" fontId="0" fillId="0" borderId="0" xfId="3" applyNumberFormat="1" applyFont="1"/>
    <xf numFmtId="43" fontId="0" fillId="0" borderId="0" xfId="0" applyNumberFormat="1"/>
    <xf numFmtId="175" fontId="3" fillId="0" borderId="0" xfId="0" applyNumberFormat="1" applyFont="1" applyBorder="1"/>
    <xf numFmtId="0" fontId="7" fillId="0" borderId="0" xfId="0" applyFont="1" applyBorder="1" applyAlignment="1">
      <alignment horizontal="center"/>
    </xf>
    <xf numFmtId="0" fontId="7" fillId="0" borderId="3" xfId="0" applyFont="1" applyBorder="1" applyAlignment="1">
      <alignment horizontal="center"/>
    </xf>
    <xf numFmtId="167" fontId="0" fillId="0" borderId="0" xfId="0" applyNumberFormat="1"/>
    <xf numFmtId="10" fontId="0" fillId="0" borderId="0" xfId="4" applyNumberFormat="1" applyFont="1"/>
    <xf numFmtId="0" fontId="0" fillId="0" borderId="3" xfId="0" applyBorder="1"/>
    <xf numFmtId="0" fontId="0" fillId="0" borderId="3" xfId="0" applyBorder="1" applyAlignment="1">
      <alignment horizontal="center"/>
    </xf>
    <xf numFmtId="0" fontId="0" fillId="0" borderId="3" xfId="0" applyBorder="1" applyAlignment="1">
      <alignment horizontal="left"/>
    </xf>
    <xf numFmtId="9" fontId="0" fillId="0" borderId="0" xfId="0" applyNumberFormat="1"/>
    <xf numFmtId="169" fontId="0" fillId="0" borderId="0" xfId="0" applyNumberFormat="1"/>
    <xf numFmtId="174" fontId="0" fillId="0" borderId="0" xfId="0" applyNumberFormat="1"/>
    <xf numFmtId="167" fontId="0" fillId="0" borderId="3" xfId="3" applyNumberFormat="1" applyFont="1" applyBorder="1" applyAlignment="1">
      <alignment horizontal="center" wrapText="1"/>
    </xf>
    <xf numFmtId="0" fontId="0" fillId="0" borderId="3" xfId="0" applyBorder="1" applyAlignment="1">
      <alignment horizontal="center" wrapText="1"/>
    </xf>
    <xf numFmtId="174" fontId="0" fillId="0" borderId="3" xfId="4" applyNumberFormat="1" applyFont="1" applyBorder="1"/>
    <xf numFmtId="44" fontId="2" fillId="0" borderId="3" xfId="2" applyFont="1" applyBorder="1"/>
    <xf numFmtId="10" fontId="2" fillId="0" borderId="0" xfId="4" applyNumberFormat="1" applyFont="1"/>
    <xf numFmtId="170" fontId="0" fillId="0" borderId="0" xfId="0" applyNumberFormat="1"/>
    <xf numFmtId="173" fontId="2" fillId="0" borderId="3" xfId="2" applyNumberFormat="1" applyFont="1" applyBorder="1"/>
    <xf numFmtId="44" fontId="0" fillId="0" borderId="3" xfId="2" applyFont="1" applyBorder="1"/>
    <xf numFmtId="0" fontId="0" fillId="0" borderId="0" xfId="0" applyBorder="1" applyAlignment="1">
      <alignment horizontal="center" wrapText="1"/>
    </xf>
    <xf numFmtId="167" fontId="0" fillId="0" borderId="0" xfId="3" applyNumberFormat="1" applyFont="1" applyBorder="1" applyAlignment="1">
      <alignment horizontal="center" wrapText="1"/>
    </xf>
    <xf numFmtId="0" fontId="4" fillId="0" borderId="0" xfId="0" applyFont="1" applyAlignment="1">
      <alignment horizontal="center" wrapText="1"/>
    </xf>
    <xf numFmtId="0" fontId="4" fillId="0" borderId="3" xfId="0" applyFont="1" applyBorder="1" applyAlignment="1">
      <alignment horizontal="center" wrapText="1"/>
    </xf>
    <xf numFmtId="0" fontId="3" fillId="0" borderId="0" xfId="0" applyFont="1" applyAlignment="1">
      <alignment horizontal="right"/>
    </xf>
    <xf numFmtId="175" fontId="0" fillId="0" borderId="0" xfId="3" applyNumberFormat="1" applyFont="1"/>
    <xf numFmtId="0" fontId="0" fillId="0" borderId="2" xfId="0" applyBorder="1"/>
    <xf numFmtId="166" fontId="0" fillId="0" borderId="2" xfId="0" applyNumberFormat="1" applyBorder="1"/>
    <xf numFmtId="43" fontId="0" fillId="0" borderId="0" xfId="3" applyNumberFormat="1" applyFont="1"/>
    <xf numFmtId="0" fontId="0" fillId="0" borderId="0" xfId="0" applyAlignment="1">
      <alignment horizontal="right"/>
    </xf>
    <xf numFmtId="1" fontId="0" fillId="0" borderId="3" xfId="0" applyNumberFormat="1" applyBorder="1"/>
    <xf numFmtId="166" fontId="0" fillId="0" borderId="3" xfId="0" applyNumberFormat="1" applyBorder="1"/>
    <xf numFmtId="0" fontId="8" fillId="0" borderId="0" xfId="0" applyFont="1"/>
    <xf numFmtId="0" fontId="9" fillId="0" borderId="0" xfId="0" applyFont="1" applyFill="1"/>
    <xf numFmtId="0" fontId="10" fillId="0" borderId="0" xfId="0" applyFont="1" applyFill="1"/>
    <xf numFmtId="0" fontId="0" fillId="0" borderId="0" xfId="2" applyNumberFormat="1" applyFont="1" applyAlignment="1"/>
    <xf numFmtId="167" fontId="11" fillId="0" borderId="1" xfId="3" applyNumberFormat="1" applyFont="1" applyBorder="1" applyAlignment="1">
      <alignment horizontal="left"/>
    </xf>
    <xf numFmtId="0" fontId="11" fillId="0" borderId="1" xfId="0" applyFont="1" applyBorder="1"/>
    <xf numFmtId="44" fontId="11" fillId="0" borderId="1" xfId="2" applyNumberFormat="1" applyFont="1" applyBorder="1"/>
    <xf numFmtId="0" fontId="12" fillId="0" borderId="0" xfId="0" applyFont="1"/>
    <xf numFmtId="0" fontId="12" fillId="2" borderId="0" xfId="0" applyFont="1" applyFill="1"/>
    <xf numFmtId="0" fontId="12" fillId="0" borderId="0" xfId="0" applyFont="1" applyFill="1"/>
    <xf numFmtId="0" fontId="13" fillId="2" borderId="0" xfId="0" applyFont="1" applyFill="1"/>
    <xf numFmtId="0" fontId="13" fillId="0" borderId="0" xfId="0" applyFont="1"/>
    <xf numFmtId="0" fontId="14" fillId="2" borderId="0" xfId="0" applyFont="1" applyFill="1"/>
    <xf numFmtId="0" fontId="15" fillId="0" borderId="0" xfId="0" applyFont="1"/>
    <xf numFmtId="0" fontId="15" fillId="0" borderId="0" xfId="0" applyFont="1" applyFill="1"/>
    <xf numFmtId="0" fontId="15" fillId="0" borderId="0" xfId="0" applyFont="1" applyAlignment="1">
      <alignment horizontal="center"/>
    </xf>
    <xf numFmtId="0" fontId="16" fillId="0" borderId="0" xfId="0" applyFont="1" applyFill="1"/>
    <xf numFmtId="0" fontId="13" fillId="0" borderId="0" xfId="0" applyFont="1" applyFill="1"/>
    <xf numFmtId="1" fontId="0" fillId="0" borderId="1" xfId="0" applyNumberFormat="1" applyBorder="1"/>
    <xf numFmtId="0" fontId="17" fillId="0" borderId="0" xfId="0" applyFont="1"/>
    <xf numFmtId="0" fontId="17" fillId="0" borderId="1" xfId="0" applyFont="1" applyBorder="1"/>
    <xf numFmtId="164" fontId="17" fillId="0" borderId="1" xfId="0" applyNumberFormat="1" applyFont="1" applyBorder="1"/>
    <xf numFmtId="1" fontId="17" fillId="0" borderId="0" xfId="0" applyNumberFormat="1" applyFont="1"/>
    <xf numFmtId="172" fontId="0" fillId="0" borderId="0" xfId="2" applyNumberFormat="1" applyFont="1"/>
    <xf numFmtId="176" fontId="0" fillId="0" borderId="0" xfId="2" applyNumberFormat="1" applyFont="1"/>
    <xf numFmtId="174" fontId="0" fillId="0" borderId="1" xfId="0" applyNumberFormat="1" applyBorder="1"/>
    <xf numFmtId="0" fontId="0" fillId="0" borderId="1" xfId="0" applyFill="1" applyBorder="1" applyAlignment="1">
      <alignment horizontal="center"/>
    </xf>
    <xf numFmtId="0" fontId="0" fillId="0" borderId="8" xfId="0" applyFill="1" applyBorder="1" applyAlignment="1">
      <alignment horizontal="center"/>
    </xf>
    <xf numFmtId="0" fontId="0" fillId="0" borderId="7" xfId="0" applyBorder="1"/>
    <xf numFmtId="166" fontId="0" fillId="0" borderId="7" xfId="0" applyNumberFormat="1" applyFill="1" applyBorder="1"/>
    <xf numFmtId="9" fontId="2" fillId="0" borderId="0" xfId="4" applyFont="1"/>
    <xf numFmtId="43" fontId="0" fillId="0" borderId="1" xfId="3" applyNumberFormat="1" applyFont="1" applyBorder="1" applyAlignment="1">
      <alignment horizontal="center" wrapText="1"/>
    </xf>
    <xf numFmtId="0" fontId="0" fillId="0" borderId="1" xfId="0" applyBorder="1" applyAlignment="1">
      <alignment horizontal="center" wrapText="1"/>
    </xf>
    <xf numFmtId="172" fontId="4" fillId="0" borderId="0" xfId="2" applyNumberFormat="1" applyFont="1"/>
    <xf numFmtId="173" fontId="3" fillId="0" borderId="0" xfId="2" applyNumberFormat="1" applyFont="1"/>
    <xf numFmtId="173" fontId="19" fillId="0" borderId="0" xfId="2" applyNumberFormat="1" applyFont="1"/>
    <xf numFmtId="167" fontId="19" fillId="0" borderId="0" xfId="3" applyNumberFormat="1" applyFont="1"/>
    <xf numFmtId="0" fontId="3" fillId="0" borderId="0" xfId="0" applyFont="1" applyAlignment="1">
      <alignment horizontal="center" wrapText="1"/>
    </xf>
    <xf numFmtId="44" fontId="19" fillId="0" borderId="0" xfId="2" applyNumberFormat="1" applyFont="1"/>
    <xf numFmtId="43" fontId="2" fillId="0" borderId="0" xfId="3" applyFont="1"/>
    <xf numFmtId="3" fontId="0" fillId="0" borderId="1" xfId="0" applyNumberFormat="1" applyBorder="1"/>
    <xf numFmtId="177" fontId="2" fillId="0" borderId="0" xfId="2" applyNumberFormat="1" applyFont="1"/>
    <xf numFmtId="166" fontId="0" fillId="0" borderId="1" xfId="0" applyNumberFormat="1" applyBorder="1"/>
    <xf numFmtId="37" fontId="3" fillId="0" borderId="0" xfId="0" applyNumberFormat="1" applyFont="1"/>
    <xf numFmtId="171" fontId="0" fillId="0" borderId="0" xfId="0" applyNumberFormat="1"/>
    <xf numFmtId="167" fontId="2" fillId="0" borderId="0" xfId="0" applyNumberFormat="1" applyFont="1"/>
    <xf numFmtId="0" fontId="20" fillId="0" borderId="0" xfId="0" applyFont="1" applyAlignment="1">
      <alignment horizontal="center" wrapText="1"/>
    </xf>
    <xf numFmtId="0" fontId="20" fillId="0" borderId="1" xfId="0" applyFont="1" applyBorder="1" applyAlignment="1">
      <alignment horizontal="center" wrapText="1"/>
    </xf>
    <xf numFmtId="173" fontId="0" fillId="0" borderId="0" xfId="2" applyNumberFormat="1" applyFont="1"/>
    <xf numFmtId="6" fontId="0" fillId="0" borderId="0" xfId="0" applyNumberFormat="1" applyFont="1"/>
    <xf numFmtId="0" fontId="3" fillId="0" borderId="1" xfId="0" applyFont="1" applyBorder="1" applyAlignment="1">
      <alignment horizontal="center" wrapText="1"/>
    </xf>
    <xf numFmtId="6" fontId="0" fillId="0" borderId="0" xfId="0" applyNumberFormat="1"/>
    <xf numFmtId="0" fontId="0" fillId="0" borderId="0" xfId="0" applyAlignment="1">
      <alignment horizontal="left"/>
    </xf>
    <xf numFmtId="173" fontId="0" fillId="0" borderId="0" xfId="0" applyNumberFormat="1"/>
    <xf numFmtId="0" fontId="3" fillId="0" borderId="3" xfId="0" applyFont="1" applyBorder="1"/>
    <xf numFmtId="173" fontId="19" fillId="0" borderId="0" xfId="0" applyNumberFormat="1" applyFont="1"/>
    <xf numFmtId="0" fontId="0" fillId="0" borderId="0" xfId="0" applyFont="1" applyAlignment="1">
      <alignment horizontal="center"/>
    </xf>
    <xf numFmtId="0" fontId="0" fillId="0" borderId="3" xfId="0" applyFont="1" applyBorder="1" applyAlignment="1">
      <alignment horizontal="center"/>
    </xf>
    <xf numFmtId="0" fontId="4" fillId="0" borderId="3" xfId="0" applyFont="1" applyBorder="1" applyAlignment="1">
      <alignment horizontal="left"/>
    </xf>
    <xf numFmtId="0" fontId="0" fillId="0" borderId="0" xfId="0" applyAlignment="1">
      <alignment horizontal="left" indent="1"/>
    </xf>
    <xf numFmtId="0" fontId="1" fillId="0" borderId="0" xfId="1" applyAlignment="1">
      <alignment horizontal="left" indent="2"/>
    </xf>
    <xf numFmtId="0" fontId="0" fillId="0" borderId="0" xfId="0" applyAlignment="1">
      <alignment horizontal="left" indent="2"/>
    </xf>
    <xf numFmtId="0" fontId="0" fillId="0" borderId="0" xfId="0" applyBorder="1" applyAlignment="1">
      <alignment horizontal="center"/>
    </xf>
    <xf numFmtId="0" fontId="0" fillId="0" borderId="0" xfId="0" applyBorder="1" applyAlignment="1">
      <alignment horizontal="left"/>
    </xf>
    <xf numFmtId="166" fontId="0" fillId="0" borderId="0" xfId="0" applyNumberFormat="1" applyBorder="1" applyAlignment="1">
      <alignment horizontal="center"/>
    </xf>
    <xf numFmtId="2" fontId="0" fillId="0" borderId="0" xfId="0" applyNumberFormat="1" applyBorder="1" applyAlignment="1">
      <alignment horizontal="center"/>
    </xf>
    <xf numFmtId="44" fontId="0" fillId="0" borderId="0" xfId="2" applyFont="1" applyBorder="1" applyAlignment="1">
      <alignment horizontal="center"/>
    </xf>
    <xf numFmtId="0" fontId="19" fillId="0" borderId="0" xfId="0" applyFont="1"/>
    <xf numFmtId="0" fontId="19" fillId="0" borderId="1" xfId="0" applyFont="1" applyBorder="1" applyAlignment="1">
      <alignment horizontal="center" wrapText="1"/>
    </xf>
    <xf numFmtId="0" fontId="21" fillId="0" borderId="0" xfId="1" applyFont="1"/>
    <xf numFmtId="167" fontId="2" fillId="0" borderId="0" xfId="3" applyNumberFormat="1" applyFont="1" applyBorder="1"/>
    <xf numFmtId="9" fontId="2" fillId="0" borderId="0" xfId="4" applyFont="1" applyBorder="1"/>
    <xf numFmtId="178" fontId="0" fillId="0" borderId="0" xfId="0" applyNumberFormat="1" applyFont="1"/>
    <xf numFmtId="0" fontId="0" fillId="0" borderId="0" xfId="0" quotePrefix="1"/>
    <xf numFmtId="173" fontId="4" fillId="0" borderId="0" xfId="2" applyNumberFormat="1" applyFont="1"/>
    <xf numFmtId="0" fontId="22" fillId="0" borderId="0" xfId="0" applyFont="1" applyAlignment="1">
      <alignment vertical="center"/>
    </xf>
    <xf numFmtId="0" fontId="5" fillId="0" borderId="0" xfId="0" applyFont="1"/>
    <xf numFmtId="9" fontId="5" fillId="0" borderId="0" xfId="4" applyFont="1"/>
    <xf numFmtId="167" fontId="0" fillId="0" borderId="0" xfId="0" applyNumberFormat="1" applyFont="1"/>
    <xf numFmtId="0" fontId="0" fillId="0" borderId="0" xfId="0" applyFont="1"/>
    <xf numFmtId="0" fontId="19" fillId="0" borderId="1" xfId="0" applyFont="1" applyBorder="1" applyAlignment="1">
      <alignment horizontal="center"/>
    </xf>
    <xf numFmtId="0" fontId="5" fillId="0" borderId="0" xfId="0" applyFont="1" applyBorder="1" applyAlignment="1">
      <alignment horizontal="center"/>
    </xf>
    <xf numFmtId="0" fontId="24" fillId="0" borderId="0" xfId="0" applyFont="1" applyFill="1"/>
    <xf numFmtId="0" fontId="23" fillId="0" borderId="0" xfId="0" applyFont="1" applyFill="1"/>
    <xf numFmtId="0" fontId="25" fillId="0" borderId="0" xfId="0" applyFont="1" applyAlignment="1">
      <alignment horizontal="center" wrapText="1"/>
    </xf>
    <xf numFmtId="0" fontId="26" fillId="0" borderId="0" xfId="0" applyFont="1" applyAlignment="1">
      <alignment horizontal="center" wrapText="1"/>
    </xf>
    <xf numFmtId="3" fontId="0" fillId="0" borderId="0" xfId="0" applyNumberFormat="1"/>
    <xf numFmtId="169" fontId="0" fillId="0" borderId="0" xfId="0" applyNumberFormat="1" applyFont="1"/>
    <xf numFmtId="167" fontId="0" fillId="0" borderId="0" xfId="3" applyNumberFormat="1" applyFont="1" applyAlignment="1">
      <alignment horizontal="right"/>
    </xf>
    <xf numFmtId="0" fontId="14" fillId="0" borderId="0" xfId="0" applyFont="1" applyFill="1"/>
    <xf numFmtId="3" fontId="27" fillId="0" borderId="0" xfId="0" applyNumberFormat="1" applyFont="1"/>
    <xf numFmtId="179" fontId="0" fillId="0" borderId="0" xfId="4" applyNumberFormat="1" applyFont="1"/>
    <xf numFmtId="0" fontId="1" fillId="0" borderId="0" xfId="1" applyAlignment="1">
      <alignment horizontal="left" vertical="center"/>
    </xf>
    <xf numFmtId="0" fontId="1" fillId="0" borderId="0" xfId="1" applyAlignment="1">
      <alignment horizontal="left"/>
    </xf>
    <xf numFmtId="0" fontId="23" fillId="0" borderId="0" xfId="0" applyFont="1"/>
    <xf numFmtId="0" fontId="28" fillId="0" borderId="0" xfId="0" applyFont="1"/>
    <xf numFmtId="164" fontId="28" fillId="0" borderId="0" xfId="0" applyNumberFormat="1" applyFont="1"/>
    <xf numFmtId="0" fontId="0" fillId="3" borderId="0" xfId="0" applyFill="1"/>
    <xf numFmtId="0" fontId="0" fillId="0" borderId="4" xfId="0" applyBorder="1"/>
    <xf numFmtId="3" fontId="12" fillId="0" borderId="0" xfId="0" applyNumberFormat="1" applyFont="1"/>
    <xf numFmtId="1" fontId="12" fillId="0" borderId="0" xfId="0" applyNumberFormat="1" applyFont="1"/>
    <xf numFmtId="0" fontId="0" fillId="0" borderId="0" xfId="0" applyAlignment="1"/>
    <xf numFmtId="180" fontId="0" fillId="0" borderId="0" xfId="0" applyNumberFormat="1"/>
    <xf numFmtId="164" fontId="29" fillId="0" borderId="0" xfId="0" applyNumberFormat="1" applyFont="1"/>
    <xf numFmtId="181" fontId="0" fillId="0" borderId="0" xfId="0" applyNumberFormat="1"/>
    <xf numFmtId="0" fontId="0" fillId="0" borderId="1" xfId="0" applyBorder="1" applyAlignment="1">
      <alignment horizontal="right"/>
    </xf>
    <xf numFmtId="0" fontId="30" fillId="0" borderId="0" xfId="0" applyFont="1"/>
    <xf numFmtId="0" fontId="31" fillId="0" borderId="0" xfId="0" applyFont="1" applyAlignment="1">
      <alignment horizontal="right"/>
    </xf>
    <xf numFmtId="0" fontId="3" fillId="0" borderId="1" xfId="0" applyFont="1" applyBorder="1" applyAlignment="1">
      <alignment vertical="center" wrapText="1"/>
    </xf>
    <xf numFmtId="176" fontId="0" fillId="0" borderId="0" xfId="0" applyNumberFormat="1"/>
    <xf numFmtId="8" fontId="0" fillId="0" borderId="0" xfId="0" applyNumberFormat="1"/>
    <xf numFmtId="0" fontId="32" fillId="0" borderId="0" xfId="0" applyFont="1"/>
    <xf numFmtId="0" fontId="33" fillId="0" borderId="1" xfId="0" applyFont="1" applyBorder="1" applyAlignment="1">
      <alignment horizontal="center" wrapText="1"/>
    </xf>
    <xf numFmtId="0" fontId="3" fillId="0" borderId="1" xfId="0" applyFont="1" applyBorder="1" applyAlignment="1">
      <alignment horizontal="center"/>
    </xf>
    <xf numFmtId="8" fontId="34" fillId="0" borderId="0" xfId="0" applyNumberFormat="1" applyFont="1"/>
    <xf numFmtId="167" fontId="34" fillId="0" borderId="0" xfId="3" applyNumberFormat="1" applyFont="1"/>
    <xf numFmtId="0" fontId="19" fillId="0" borderId="0" xfId="0" applyFont="1" applyBorder="1" applyAlignment="1">
      <alignment horizontal="center" wrapText="1"/>
    </xf>
    <xf numFmtId="0" fontId="19" fillId="0" borderId="2" xfId="0" applyFont="1" applyBorder="1" applyAlignment="1">
      <alignment horizontal="center" wrapText="1"/>
    </xf>
    <xf numFmtId="0" fontId="19" fillId="0" borderId="9" xfId="0" applyFont="1" applyBorder="1" applyAlignment="1">
      <alignment horizontal="center" wrapText="1"/>
    </xf>
    <xf numFmtId="1" fontId="0" fillId="0" borderId="10" xfId="0" applyNumberFormat="1" applyBorder="1"/>
    <xf numFmtId="1" fontId="0" fillId="0" borderId="4" xfId="0" applyNumberFormat="1" applyBorder="1"/>
    <xf numFmtId="0" fontId="19" fillId="0" borderId="11" xfId="0" applyFont="1" applyBorder="1" applyAlignment="1">
      <alignment horizontal="center" wrapText="1"/>
    </xf>
    <xf numFmtId="0" fontId="19" fillId="0" borderId="4" xfId="0" applyFont="1" applyBorder="1" applyAlignment="1">
      <alignment horizontal="center" wrapText="1"/>
    </xf>
    <xf numFmtId="0" fontId="19" fillId="0" borderId="0" xfId="0" applyFont="1" applyFill="1" applyBorder="1" applyAlignment="1">
      <alignment horizontal="center" wrapText="1"/>
    </xf>
    <xf numFmtId="0" fontId="19" fillId="0" borderId="1" xfId="0" applyFont="1" applyFill="1" applyBorder="1" applyAlignment="1">
      <alignment horizontal="center" wrapText="1"/>
    </xf>
    <xf numFmtId="0" fontId="19" fillId="0" borderId="0" xfId="0" applyFont="1" applyAlignment="1">
      <alignment horizontal="right"/>
    </xf>
    <xf numFmtId="1" fontId="0" fillId="0" borderId="0" xfId="0" applyNumberFormat="1" applyBorder="1"/>
    <xf numFmtId="166" fontId="0" fillId="0" borderId="12" xfId="0" applyNumberFormat="1" applyBorder="1"/>
    <xf numFmtId="166" fontId="0" fillId="0" borderId="0" xfId="0" applyNumberFormat="1" applyBorder="1"/>
    <xf numFmtId="0" fontId="0" fillId="0" borderId="1" xfId="0" applyBorder="1" applyAlignment="1">
      <alignment horizontal="center"/>
    </xf>
    <xf numFmtId="0" fontId="35" fillId="0" borderId="0" xfId="0" applyFont="1"/>
    <xf numFmtId="166" fontId="0" fillId="0" borderId="13" xfId="0" applyNumberFormat="1" applyBorder="1"/>
    <xf numFmtId="0" fontId="36" fillId="0" borderId="0" xfId="0" applyFont="1" applyAlignment="1">
      <alignment horizontal="center"/>
    </xf>
    <xf numFmtId="0" fontId="3" fillId="0" borderId="0" xfId="0" applyFont="1" applyAlignment="1">
      <alignment horizontal="center"/>
    </xf>
    <xf numFmtId="0" fontId="3" fillId="0" borderId="3" xfId="0" applyFont="1" applyBorder="1" applyAlignment="1">
      <alignment horizontal="center"/>
    </xf>
    <xf numFmtId="0" fontId="37" fillId="0" borderId="0" xfId="0" applyFont="1"/>
    <xf numFmtId="9" fontId="8" fillId="0" borderId="0" xfId="0" applyNumberFormat="1" applyFont="1"/>
    <xf numFmtId="0" fontId="38" fillId="0" borderId="0" xfId="0" applyFont="1" applyBorder="1" applyAlignment="1">
      <alignment horizontal="center" wrapText="1"/>
    </xf>
    <xf numFmtId="0" fontId="38" fillId="0" borderId="1" xfId="0" applyFont="1" applyBorder="1" applyAlignment="1">
      <alignment horizontal="center" wrapText="1"/>
    </xf>
    <xf numFmtId="1" fontId="37" fillId="0" borderId="0" xfId="0" applyNumberFormat="1" applyFont="1"/>
    <xf numFmtId="8" fontId="0" fillId="0" borderId="0" xfId="0" applyNumberFormat="1" applyFill="1"/>
    <xf numFmtId="0" fontId="3" fillId="0" borderId="3" xfId="0" applyFont="1" applyBorder="1" applyAlignment="1">
      <alignment horizontal="center" wrapText="1"/>
    </xf>
    <xf numFmtId="0" fontId="1" fillId="0" borderId="3" xfId="1" applyBorder="1"/>
    <xf numFmtId="167" fontId="0" fillId="0" borderId="0" xfId="0" applyNumberFormat="1" applyFill="1"/>
    <xf numFmtId="4" fontId="0" fillId="0" borderId="0" xfId="0" applyNumberFormat="1"/>
    <xf numFmtId="4" fontId="0" fillId="0" borderId="0" xfId="0" applyNumberFormat="1" applyFill="1"/>
    <xf numFmtId="9" fontId="0" fillId="0" borderId="2" xfId="0" applyNumberFormat="1" applyBorder="1"/>
    <xf numFmtId="0" fontId="0" fillId="0" borderId="3" xfId="0" applyFont="1" applyBorder="1"/>
    <xf numFmtId="0" fontId="0" fillId="0" borderId="3" xfId="0" applyFont="1" applyBorder="1" applyAlignment="1">
      <alignment horizontal="center" wrapText="1"/>
    </xf>
    <xf numFmtId="0" fontId="0" fillId="0" borderId="14" xfId="0" applyFont="1" applyBorder="1" applyAlignment="1">
      <alignment horizontal="center" wrapText="1"/>
    </xf>
    <xf numFmtId="9" fontId="0" fillId="0" borderId="9" xfId="0" applyNumberFormat="1" applyBorder="1"/>
    <xf numFmtId="9" fontId="0" fillId="0" borderId="1" xfId="0" applyNumberFormat="1" applyBorder="1"/>
    <xf numFmtId="0" fontId="0" fillId="0" borderId="1" xfId="0" applyFill="1" applyBorder="1"/>
    <xf numFmtId="167" fontId="2" fillId="0" borderId="1" xfId="3" applyNumberFormat="1" applyFont="1" applyBorder="1"/>
    <xf numFmtId="169" fontId="0" fillId="0" borderId="1" xfId="3" applyNumberFormat="1" applyFont="1" applyBorder="1"/>
    <xf numFmtId="167" fontId="0" fillId="0" borderId="1" xfId="0" applyNumberFormat="1" applyBorder="1"/>
    <xf numFmtId="0" fontId="0" fillId="0" borderId="1" xfId="0" applyFont="1" applyBorder="1"/>
    <xf numFmtId="173" fontId="0" fillId="0" borderId="1" xfId="2" applyNumberFormat="1" applyFont="1" applyBorder="1"/>
    <xf numFmtId="42" fontId="0" fillId="0" borderId="0" xfId="0" applyNumberFormat="1"/>
    <xf numFmtId="172" fontId="0" fillId="0" borderId="1" xfId="2" applyNumberFormat="1" applyFont="1" applyBorder="1"/>
    <xf numFmtId="164" fontId="0" fillId="0" borderId="0" xfId="0" applyNumberFormat="1" applyFont="1"/>
    <xf numFmtId="0" fontId="24" fillId="0" borderId="0" xfId="0" applyFont="1"/>
    <xf numFmtId="0" fontId="20" fillId="0" borderId="0" xfId="0" applyFont="1" applyFill="1" applyAlignment="1">
      <alignment horizontal="center"/>
    </xf>
    <xf numFmtId="0" fontId="20" fillId="0" borderId="1" xfId="0" applyFont="1" applyFill="1" applyBorder="1" applyAlignment="1">
      <alignment horizontal="center"/>
    </xf>
    <xf numFmtId="0" fontId="0" fillId="0" borderId="0" xfId="0" applyFill="1" applyAlignment="1">
      <alignment horizontal="right"/>
    </xf>
    <xf numFmtId="3" fontId="0" fillId="0" borderId="0" xfId="0" applyNumberFormat="1" applyFill="1"/>
    <xf numFmtId="9" fontId="0" fillId="0" borderId="0" xfId="0" applyNumberFormat="1" applyFill="1"/>
    <xf numFmtId="0" fontId="0" fillId="0" borderId="0" xfId="0" applyFont="1" applyFill="1" applyAlignment="1">
      <alignment horizontal="right"/>
    </xf>
    <xf numFmtId="2" fontId="0" fillId="0" borderId="0" xfId="0" applyNumberFormat="1" applyFill="1"/>
    <xf numFmtId="166" fontId="0" fillId="0" borderId="0" xfId="0" applyNumberFormat="1" applyFill="1"/>
    <xf numFmtId="1" fontId="0" fillId="0" borderId="0" xfId="0" applyNumberFormat="1" applyFill="1"/>
    <xf numFmtId="0" fontId="20" fillId="0" borderId="0" xfId="0" applyFont="1" applyFill="1" applyAlignment="1">
      <alignment horizontal="right"/>
    </xf>
    <xf numFmtId="0" fontId="41" fillId="0" borderId="0" xfId="0" applyFont="1" applyFill="1"/>
    <xf numFmtId="165" fontId="40" fillId="0" borderId="0" xfId="0" applyNumberFormat="1" applyFont="1"/>
    <xf numFmtId="166" fontId="0" fillId="0" borderId="0" xfId="0" applyNumberFormat="1" applyFont="1" applyFill="1"/>
    <xf numFmtId="0" fontId="0" fillId="0" borderId="1" xfId="0" applyFill="1" applyBorder="1" applyAlignment="1">
      <alignment horizontal="right"/>
    </xf>
    <xf numFmtId="1" fontId="0" fillId="0" borderId="1" xfId="0" applyNumberFormat="1" applyFill="1" applyBorder="1"/>
    <xf numFmtId="0" fontId="43" fillId="0" borderId="0" xfId="0" applyFont="1"/>
    <xf numFmtId="0" fontId="44" fillId="0" borderId="0" xfId="0" applyFont="1"/>
    <xf numFmtId="4" fontId="44" fillId="0" borderId="0" xfId="0" applyNumberFormat="1" applyFont="1" applyBorder="1"/>
    <xf numFmtId="182" fontId="45" fillId="0" borderId="0" xfId="0" applyNumberFormat="1" applyFont="1" applyBorder="1"/>
    <xf numFmtId="10" fontId="44" fillId="0" borderId="0" xfId="4" applyNumberFormat="1" applyFont="1" applyBorder="1"/>
    <xf numFmtId="182" fontId="44" fillId="0" borderId="0" xfId="0" applyNumberFormat="1" applyFont="1" applyBorder="1"/>
    <xf numFmtId="3" fontId="46" fillId="0" borderId="0" xfId="0" applyNumberFormat="1" applyFont="1" applyBorder="1"/>
    <xf numFmtId="167" fontId="44" fillId="0" borderId="0" xfId="3" applyNumberFormat="1" applyFont="1"/>
    <xf numFmtId="43" fontId="44" fillId="0" borderId="0" xfId="3" applyNumberFormat="1" applyFont="1"/>
    <xf numFmtId="169" fontId="44" fillId="0" borderId="0" xfId="3" applyNumberFormat="1" applyFont="1"/>
    <xf numFmtId="11" fontId="0" fillId="0" borderId="0" xfId="0" applyNumberFormat="1" applyBorder="1"/>
    <xf numFmtId="11" fontId="0" fillId="0" borderId="6" xfId="0" applyNumberFormat="1" applyBorder="1"/>
    <xf numFmtId="11" fontId="0" fillId="0" borderId="4" xfId="0" applyNumberFormat="1" applyBorder="1"/>
    <xf numFmtId="3" fontId="44" fillId="0" borderId="0" xfId="3" applyNumberFormat="1" applyFont="1"/>
    <xf numFmtId="11" fontId="44" fillId="0" borderId="0" xfId="3" applyNumberFormat="1" applyFont="1"/>
    <xf numFmtId="0" fontId="44" fillId="0" borderId="0" xfId="0" applyFont="1" applyBorder="1"/>
    <xf numFmtId="11" fontId="29" fillId="0" borderId="0" xfId="0" applyNumberFormat="1" applyFont="1"/>
    <xf numFmtId="0" fontId="29" fillId="0" borderId="0" xfId="0" applyFont="1"/>
    <xf numFmtId="0" fontId="6" fillId="0" borderId="3" xfId="0" applyFont="1" applyFill="1" applyBorder="1" applyAlignment="1">
      <alignment horizontal="center"/>
    </xf>
    <xf numFmtId="165" fontId="0" fillId="0" borderId="15" xfId="0" applyNumberFormat="1" applyBorder="1"/>
    <xf numFmtId="165" fontId="0" fillId="0" borderId="0" xfId="0" applyNumberFormat="1" applyBorder="1"/>
    <xf numFmtId="0" fontId="29" fillId="0" borderId="0" xfId="0" applyFont="1" applyAlignment="1">
      <alignment horizontal="center"/>
    </xf>
    <xf numFmtId="44" fontId="29" fillId="0" borderId="0" xfId="2" applyFont="1"/>
    <xf numFmtId="0" fontId="0" fillId="4" borderId="0" xfId="0" applyFill="1"/>
    <xf numFmtId="0" fontId="0" fillId="4" borderId="0" xfId="0" applyFill="1" applyAlignment="1">
      <alignment horizontal="center"/>
    </xf>
    <xf numFmtId="0" fontId="44" fillId="0" borderId="15" xfId="0" applyFont="1" applyBorder="1"/>
    <xf numFmtId="173" fontId="0" fillId="0" borderId="0" xfId="0" applyNumberFormat="1" applyFont="1"/>
    <xf numFmtId="0" fontId="4" fillId="0" borderId="0" xfId="0" applyFont="1" applyAlignment="1">
      <alignment horizontal="right"/>
    </xf>
    <xf numFmtId="167" fontId="47" fillId="0" borderId="0" xfId="3" applyNumberFormat="1" applyFont="1"/>
    <xf numFmtId="183" fontId="44" fillId="0" borderId="0" xfId="3" applyNumberFormat="1" applyFont="1"/>
    <xf numFmtId="0" fontId="48" fillId="0" borderId="0" xfId="0" applyFont="1"/>
    <xf numFmtId="0" fontId="12" fillId="0" borderId="0" xfId="0" applyFont="1" applyAlignment="1">
      <alignment horizontal="center"/>
    </xf>
    <xf numFmtId="0" fontId="49" fillId="0" borderId="0" xfId="0" applyFont="1" applyAlignment="1">
      <alignment horizontal="right"/>
    </xf>
    <xf numFmtId="0" fontId="49" fillId="0" borderId="0" xfId="0" applyFont="1"/>
    <xf numFmtId="1" fontId="15" fillId="0" borderId="0" xfId="0" applyNumberFormat="1" applyFont="1"/>
    <xf numFmtId="0" fontId="50" fillId="0" borderId="0" xfId="0" applyFont="1" applyAlignment="1">
      <alignment horizontal="left"/>
    </xf>
    <xf numFmtId="0" fontId="20" fillId="0" borderId="3" xfId="0" applyFont="1" applyBorder="1" applyAlignment="1">
      <alignment horizontal="center" wrapText="1"/>
    </xf>
    <xf numFmtId="167" fontId="50" fillId="0" borderId="0" xfId="3" applyNumberFormat="1" applyFont="1" applyAlignment="1">
      <alignment horizontal="right"/>
    </xf>
    <xf numFmtId="0" fontId="50" fillId="0" borderId="0" xfId="0" applyFont="1" applyAlignment="1">
      <alignment horizontal="right"/>
    </xf>
    <xf numFmtId="0" fontId="51" fillId="0" borderId="0" xfId="0" applyFont="1" applyAlignment="1">
      <alignment horizontal="right"/>
    </xf>
    <xf numFmtId="0" fontId="52" fillId="0" borderId="0" xfId="0" applyFont="1"/>
    <xf numFmtId="0" fontId="0" fillId="0" borderId="0" xfId="0" applyFont="1" applyAlignment="1">
      <alignment vertical="center"/>
    </xf>
    <xf numFmtId="0" fontId="20" fillId="0" borderId="0" xfId="0" applyFont="1"/>
    <xf numFmtId="10" fontId="0" fillId="0" borderId="0" xfId="0" applyNumberFormat="1"/>
    <xf numFmtId="0" fontId="20" fillId="0" borderId="0" xfId="0" applyFont="1" applyBorder="1" applyAlignment="1">
      <alignment horizontal="center" wrapText="1"/>
    </xf>
    <xf numFmtId="10" fontId="34" fillId="0" borderId="0" xfId="0" applyNumberFormat="1" applyFont="1"/>
    <xf numFmtId="0" fontId="34" fillId="0" borderId="0" xfId="0" applyFont="1"/>
    <xf numFmtId="0" fontId="31" fillId="0" borderId="0" xfId="0" applyFont="1"/>
    <xf numFmtId="170" fontId="0" fillId="0" borderId="0" xfId="3" applyNumberFormat="1" applyFont="1"/>
    <xf numFmtId="0" fontId="53" fillId="0" borderId="0" xfId="0" applyFont="1"/>
    <xf numFmtId="20" fontId="0" fillId="0" borderId="0" xfId="0" applyNumberFormat="1" applyAlignment="1">
      <alignment horizontal="right"/>
    </xf>
    <xf numFmtId="0" fontId="0" fillId="0" borderId="0" xfId="0" applyAlignment="1">
      <alignment horizontal="right" indent="1"/>
    </xf>
    <xf numFmtId="0" fontId="54" fillId="0" borderId="0" xfId="0" applyFont="1" applyBorder="1"/>
    <xf numFmtId="0" fontId="54" fillId="0" borderId="0" xfId="0" applyFont="1" applyBorder="1" applyAlignment="1">
      <alignment horizontal="center"/>
    </xf>
    <xf numFmtId="0" fontId="20" fillId="0" borderId="1" xfId="0" applyFont="1" applyFill="1" applyBorder="1" applyAlignment="1">
      <alignment horizontal="center" wrapText="1"/>
    </xf>
    <xf numFmtId="0" fontId="17" fillId="0" borderId="0" xfId="0" applyFont="1" applyFill="1" applyAlignment="1">
      <alignment horizontal="right"/>
    </xf>
    <xf numFmtId="0" fontId="55" fillId="0" borderId="0" xfId="0" applyFont="1"/>
    <xf numFmtId="0" fontId="56" fillId="0" borderId="0" xfId="0" applyFont="1"/>
    <xf numFmtId="0" fontId="56" fillId="0" borderId="0" xfId="0" applyFont="1" applyAlignment="1">
      <alignment horizontal="right"/>
    </xf>
    <xf numFmtId="3" fontId="0" fillId="0" borderId="0" xfId="0" applyNumberFormat="1" applyFont="1"/>
    <xf numFmtId="0" fontId="20" fillId="0" borderId="0" xfId="0" applyFont="1" applyAlignment="1">
      <alignment horizontal="right"/>
    </xf>
    <xf numFmtId="0" fontId="20" fillId="0" borderId="0" xfId="0" applyFont="1" applyAlignment="1"/>
    <xf numFmtId="8" fontId="0" fillId="0" borderId="0" xfId="2" applyNumberFormat="1" applyFont="1"/>
    <xf numFmtId="0" fontId="20" fillId="0" borderId="0" xfId="0" applyFont="1" applyAlignment="1">
      <alignment horizontal="left"/>
    </xf>
    <xf numFmtId="2" fontId="0" fillId="0" borderId="0" xfId="0" applyNumberFormat="1" applyAlignment="1">
      <alignment horizontal="right"/>
    </xf>
    <xf numFmtId="0" fontId="0" fillId="0" borderId="0" xfId="0" applyFont="1" applyAlignment="1">
      <alignment horizontal="right"/>
    </xf>
    <xf numFmtId="0" fontId="0" fillId="0" borderId="0" xfId="0" applyFont="1" applyBorder="1" applyAlignment="1">
      <alignment horizontal="right" wrapText="1"/>
    </xf>
    <xf numFmtId="164" fontId="0" fillId="0" borderId="0" xfId="0" applyNumberFormat="1" applyFont="1" applyAlignment="1">
      <alignment horizontal="right"/>
    </xf>
    <xf numFmtId="10" fontId="0" fillId="0" borderId="0" xfId="0" applyNumberFormat="1" applyFont="1" applyAlignment="1">
      <alignment horizontal="right"/>
    </xf>
    <xf numFmtId="10" fontId="0" fillId="0" borderId="0" xfId="0" applyNumberFormat="1" applyFont="1" applyBorder="1" applyAlignment="1">
      <alignment horizontal="right" wrapText="1"/>
    </xf>
    <xf numFmtId="176" fontId="0" fillId="0" borderId="0" xfId="2" applyNumberFormat="1" applyFont="1" applyAlignment="1">
      <alignment horizontal="right"/>
    </xf>
    <xf numFmtId="10" fontId="0" fillId="0" borderId="0" xfId="4" applyNumberFormat="1" applyFont="1" applyAlignment="1">
      <alignment horizontal="right"/>
    </xf>
    <xf numFmtId="0" fontId="0" fillId="0" borderId="0" xfId="0" applyFont="1" applyAlignment="1">
      <alignment horizontal="left"/>
    </xf>
    <xf numFmtId="0" fontId="0" fillId="0" borderId="0" xfId="0" applyFont="1" applyBorder="1" applyAlignment="1">
      <alignment horizontal="left"/>
    </xf>
    <xf numFmtId="0" fontId="15" fillId="0" borderId="0" xfId="0" applyFont="1" applyBorder="1" applyAlignment="1">
      <alignment horizontal="right" wrapText="1"/>
    </xf>
    <xf numFmtId="0" fontId="57" fillId="0" borderId="0" xfId="0" applyFont="1" applyBorder="1" applyAlignment="1">
      <alignment horizontal="right" wrapText="1"/>
    </xf>
    <xf numFmtId="0" fontId="40" fillId="0" borderId="0" xfId="0" applyFont="1" applyAlignment="1">
      <alignment horizontal="right"/>
    </xf>
    <xf numFmtId="44" fontId="0" fillId="0" borderId="0" xfId="2" applyNumberFormat="1" applyFont="1" applyAlignment="1">
      <alignment horizontal="right"/>
    </xf>
    <xf numFmtId="166" fontId="0" fillId="0" borderId="0" xfId="0" applyNumberFormat="1" applyFont="1" applyAlignment="1">
      <alignment horizontal="right"/>
    </xf>
    <xf numFmtId="184" fontId="0" fillId="0" borderId="0" xfId="2" applyNumberFormat="1" applyFont="1"/>
    <xf numFmtId="0" fontId="20" fillId="0" borderId="1" xfId="0" applyFont="1" applyBorder="1" applyAlignment="1">
      <alignment horizontal="center"/>
    </xf>
    <xf numFmtId="0" fontId="58" fillId="0" borderId="0" xfId="1" applyFont="1"/>
    <xf numFmtId="185" fontId="0" fillId="0" borderId="0" xfId="0" applyNumberFormat="1"/>
    <xf numFmtId="44" fontId="0" fillId="0" borderId="0" xfId="2" applyNumberFormat="1" applyFont="1"/>
    <xf numFmtId="0" fontId="22" fillId="0" borderId="0" xfId="0" applyFont="1"/>
    <xf numFmtId="0" fontId="22" fillId="0" borderId="0" xfId="0" applyFont="1" applyAlignment="1">
      <alignment horizontal="right"/>
    </xf>
    <xf numFmtId="0" fontId="59" fillId="0" borderId="0" xfId="1" applyFont="1"/>
    <xf numFmtId="0" fontId="60" fillId="0" borderId="0" xfId="0" applyFont="1" applyAlignment="1">
      <alignment horizontal="left"/>
    </xf>
    <xf numFmtId="0" fontId="60" fillId="0" borderId="0" xfId="0" applyFont="1" applyAlignment="1">
      <alignment horizontal="right"/>
    </xf>
    <xf numFmtId="176" fontId="60" fillId="0" borderId="0" xfId="2" applyNumberFormat="1" applyFont="1" applyAlignment="1">
      <alignment horizontal="right"/>
    </xf>
    <xf numFmtId="10" fontId="60" fillId="0" borderId="0" xfId="0" applyNumberFormat="1" applyFont="1" applyAlignment="1">
      <alignment horizontal="right"/>
    </xf>
    <xf numFmtId="164" fontId="60" fillId="0" borderId="0" xfId="0" applyNumberFormat="1" applyFont="1" applyAlignment="1">
      <alignment horizontal="right"/>
    </xf>
    <xf numFmtId="0" fontId="60" fillId="0" borderId="0" xfId="0" applyFont="1"/>
    <xf numFmtId="10" fontId="60" fillId="0" borderId="0" xfId="4" applyNumberFormat="1" applyFont="1" applyAlignment="1">
      <alignment horizontal="right"/>
    </xf>
    <xf numFmtId="0" fontId="61" fillId="0" borderId="0" xfId="0" applyFont="1" applyBorder="1" applyAlignment="1">
      <alignment horizontal="center" wrapText="1"/>
    </xf>
    <xf numFmtId="0" fontId="62" fillId="0" borderId="0" xfId="0" applyFont="1"/>
    <xf numFmtId="0" fontId="63" fillId="0" borderId="0" xfId="0" applyFont="1"/>
    <xf numFmtId="0" fontId="20" fillId="0" borderId="0" xfId="0" applyFont="1" applyBorder="1" applyAlignment="1">
      <alignment horizontal="center"/>
    </xf>
    <xf numFmtId="0" fontId="64" fillId="0" borderId="0" xfId="0" applyFont="1"/>
    <xf numFmtId="0" fontId="65" fillId="0" borderId="0" xfId="0" applyFont="1"/>
    <xf numFmtId="0" fontId="1" fillId="0" borderId="0" xfId="1" applyAlignment="1" applyProtection="1"/>
    <xf numFmtId="0" fontId="1" fillId="0" borderId="0" xfId="1" applyBorder="1" applyAlignment="1" applyProtection="1"/>
    <xf numFmtId="0" fontId="44" fillId="0" borderId="0" xfId="1" applyFont="1" applyAlignment="1" applyProtection="1"/>
    <xf numFmtId="0" fontId="6" fillId="0" borderId="0" xfId="0" applyFont="1" applyAlignment="1">
      <alignment horizontal="center"/>
    </xf>
    <xf numFmtId="0" fontId="66" fillId="0" borderId="1" xfId="0" applyFont="1" applyBorder="1" applyAlignment="1">
      <alignment horizontal="center" wrapText="1"/>
    </xf>
    <xf numFmtId="0" fontId="33" fillId="0" borderId="1" xfId="0" applyFont="1" applyBorder="1" applyAlignment="1">
      <alignment wrapText="1"/>
    </xf>
    <xf numFmtId="0" fontId="66" fillId="0" borderId="1" xfId="0" applyFont="1" applyBorder="1" applyAlignment="1">
      <alignment horizontal="center"/>
    </xf>
    <xf numFmtId="0" fontId="67" fillId="2" borderId="0" xfId="0" applyFont="1" applyFill="1"/>
    <xf numFmtId="0" fontId="20" fillId="0" borderId="0" xfId="0" applyFont="1" applyBorder="1"/>
    <xf numFmtId="0" fontId="68" fillId="0" borderId="0" xfId="0" applyFont="1" applyAlignment="1">
      <alignment horizontal="center"/>
    </xf>
    <xf numFmtId="0" fontId="66" fillId="0" borderId="8" xfId="0" applyFont="1" applyBorder="1" applyAlignment="1">
      <alignment horizontal="center" wrapText="1"/>
    </xf>
    <xf numFmtId="0" fontId="1" fillId="0" borderId="7" xfId="1" applyBorder="1"/>
    <xf numFmtId="9" fontId="0" fillId="0" borderId="7" xfId="0" applyNumberFormat="1" applyBorder="1"/>
    <xf numFmtId="0" fontId="0" fillId="0" borderId="16" xfId="0" applyBorder="1"/>
    <xf numFmtId="0" fontId="1" fillId="0" borderId="0" xfId="1" applyFont="1"/>
    <xf numFmtId="0" fontId="1" fillId="0" borderId="0" xfId="1" applyFont="1" applyAlignment="1" applyProtection="1"/>
    <xf numFmtId="0" fontId="2" fillId="0" borderId="0" xfId="0" applyFont="1"/>
    <xf numFmtId="0" fontId="17" fillId="0" borderId="0" xfId="1" applyFont="1" applyAlignment="1" applyProtection="1"/>
    <xf numFmtId="0" fontId="0" fillId="0" borderId="17" xfId="0" applyBorder="1"/>
    <xf numFmtId="0" fontId="1" fillId="0" borderId="7" xfId="1" applyBorder="1" applyAlignment="1" applyProtection="1"/>
    <xf numFmtId="0" fontId="0" fillId="0" borderId="7" xfId="0" applyBorder="1" applyAlignment="1">
      <alignment horizontal="right"/>
    </xf>
    <xf numFmtId="44" fontId="24" fillId="0" borderId="0" xfId="0" applyNumberFormat="1" applyFont="1"/>
    <xf numFmtId="37" fontId="24" fillId="0" borderId="0" xfId="0" applyNumberFormat="1" applyFont="1"/>
    <xf numFmtId="37" fontId="0" fillId="0" borderId="0" xfId="0" applyNumberFormat="1"/>
    <xf numFmtId="0" fontId="0" fillId="0" borderId="0" xfId="0" applyNumberFormat="1"/>
    <xf numFmtId="0" fontId="12" fillId="0" borderId="0" xfId="0" applyNumberFormat="1" applyFont="1"/>
    <xf numFmtId="44" fontId="0" fillId="0" borderId="1" xfId="2" applyFont="1" applyBorder="1"/>
    <xf numFmtId="44" fontId="0" fillId="0" borderId="0" xfId="2" applyFont="1" applyBorder="1"/>
    <xf numFmtId="44" fontId="0" fillId="0" borderId="0" xfId="2" applyNumberFormat="1" applyFont="1" applyBorder="1"/>
    <xf numFmtId="9" fontId="0" fillId="0" borderId="0" xfId="2" applyNumberFormat="1" applyFont="1"/>
    <xf numFmtId="0" fontId="20" fillId="0" borderId="0" xfId="0" applyFont="1" applyBorder="1" applyAlignment="1">
      <alignment horizontal="left"/>
    </xf>
    <xf numFmtId="44" fontId="2" fillId="0" borderId="0" xfId="2" applyFont="1" applyBorder="1" applyAlignment="1">
      <alignment horizontal="center" wrapText="1"/>
    </xf>
    <xf numFmtId="0" fontId="20" fillId="0" borderId="0" xfId="0" applyFont="1" applyBorder="1" applyAlignment="1">
      <alignment horizontal="left" wrapText="1"/>
    </xf>
    <xf numFmtId="0" fontId="20" fillId="0" borderId="0" xfId="0" applyFont="1" applyBorder="1" applyAlignment="1"/>
    <xf numFmtId="44" fontId="2" fillId="0" borderId="0" xfId="2" applyFont="1" applyBorder="1" applyAlignment="1"/>
    <xf numFmtId="44" fontId="2" fillId="0" borderId="0" xfId="2" applyFont="1" applyAlignment="1"/>
    <xf numFmtId="44" fontId="0" fillId="0" borderId="0" xfId="2" applyFont="1" applyBorder="1" applyAlignment="1"/>
    <xf numFmtId="186" fontId="0" fillId="0" borderId="0" xfId="0" applyNumberFormat="1"/>
    <xf numFmtId="182" fontId="0" fillId="0" borderId="0" xfId="0" applyNumberFormat="1"/>
    <xf numFmtId="0" fontId="3" fillId="0" borderId="0" xfId="0" applyFont="1" applyFill="1" applyBorder="1" applyAlignment="1">
      <alignment horizontal="center" wrapText="1"/>
    </xf>
    <xf numFmtId="0" fontId="20" fillId="0" borderId="0" xfId="0" applyFont="1" applyAlignment="1">
      <alignment horizontal="center"/>
    </xf>
    <xf numFmtId="3" fontId="20" fillId="0" borderId="0" xfId="0" applyNumberFormat="1" applyFont="1" applyAlignment="1">
      <alignment horizontal="left"/>
    </xf>
    <xf numFmtId="3" fontId="20" fillId="0" borderId="0" xfId="0" applyNumberFormat="1" applyFont="1"/>
    <xf numFmtId="3" fontId="0" fillId="0" borderId="0" xfId="0" applyNumberFormat="1" applyAlignment="1">
      <alignment horizontal="right"/>
    </xf>
    <xf numFmtId="0" fontId="69" fillId="0" borderId="0" xfId="0" applyFont="1" applyAlignment="1">
      <alignment horizontal="center"/>
    </xf>
    <xf numFmtId="0" fontId="57" fillId="0" borderId="0" xfId="0" applyFont="1"/>
    <xf numFmtId="44" fontId="20" fillId="0" borderId="0" xfId="2" applyFont="1"/>
    <xf numFmtId="185" fontId="70" fillId="0" borderId="0" xfId="0" applyNumberFormat="1" applyFont="1"/>
    <xf numFmtId="0" fontId="70" fillId="0" borderId="0" xfId="0" applyFont="1"/>
    <xf numFmtId="0" fontId="71" fillId="0" borderId="0" xfId="0" applyFont="1"/>
    <xf numFmtId="187" fontId="0" fillId="0" borderId="0" xfId="0" applyNumberFormat="1"/>
    <xf numFmtId="40" fontId="0" fillId="0" borderId="0" xfId="0" applyNumberFormat="1"/>
    <xf numFmtId="185" fontId="34" fillId="0" borderId="0" xfId="0" applyNumberFormat="1" applyFont="1"/>
    <xf numFmtId="3" fontId="34" fillId="0" borderId="0" xfId="0" applyNumberFormat="1" applyFont="1"/>
    <xf numFmtId="185" fontId="0" fillId="0" borderId="1" xfId="0" applyNumberFormat="1" applyBorder="1"/>
    <xf numFmtId="3" fontId="0" fillId="3" borderId="0" xfId="0" applyNumberFormat="1" applyFill="1"/>
    <xf numFmtId="1" fontId="0" fillId="0" borderId="0" xfId="0" applyNumberFormat="1" applyAlignment="1">
      <alignment horizontal="right"/>
    </xf>
    <xf numFmtId="0" fontId="73" fillId="0" borderId="0" xfId="0" applyFont="1"/>
    <xf numFmtId="44" fontId="20" fillId="0" borderId="0" xfId="0" applyNumberFormat="1" applyFont="1" applyBorder="1" applyAlignment="1">
      <alignment horizontal="center" wrapText="1"/>
    </xf>
    <xf numFmtId="0" fontId="0" fillId="0" borderId="0" xfId="0" applyNumberFormat="1" applyFont="1" applyAlignment="1">
      <alignment horizontal="right"/>
    </xf>
    <xf numFmtId="2" fontId="0" fillId="0" borderId="0" xfId="0" applyNumberFormat="1" applyFont="1"/>
    <xf numFmtId="1" fontId="0" fillId="0" borderId="0" xfId="0" applyNumberFormat="1" applyFont="1"/>
    <xf numFmtId="0" fontId="74" fillId="0" borderId="0" xfId="0" applyFont="1"/>
    <xf numFmtId="0" fontId="15" fillId="0" borderId="0" xfId="0" applyFont="1" applyAlignment="1">
      <alignment horizontal="right"/>
    </xf>
    <xf numFmtId="185" fontId="20" fillId="0" borderId="0" xfId="0" applyNumberFormat="1" applyFont="1"/>
    <xf numFmtId="2" fontId="34" fillId="0" borderId="0" xfId="0" applyNumberFormat="1" applyFont="1"/>
    <xf numFmtId="2" fontId="17" fillId="0" borderId="0" xfId="0" applyNumberFormat="1" applyFont="1"/>
    <xf numFmtId="2" fontId="20" fillId="0" borderId="0" xfId="0" applyNumberFormat="1" applyFont="1"/>
    <xf numFmtId="2" fontId="0" fillId="0" borderId="0" xfId="2" applyNumberFormat="1" applyFont="1"/>
    <xf numFmtId="166" fontId="34" fillId="0" borderId="0" xfId="0" applyNumberFormat="1" applyFont="1"/>
    <xf numFmtId="166" fontId="17" fillId="0" borderId="0" xfId="0" applyNumberFormat="1" applyFont="1"/>
    <xf numFmtId="4" fontId="0" fillId="0" borderId="0" xfId="0" applyNumberFormat="1" applyFont="1"/>
    <xf numFmtId="44" fontId="20" fillId="0" borderId="0" xfId="2" applyNumberFormat="1" applyFont="1" applyAlignment="1">
      <alignment horizontal="left"/>
    </xf>
    <xf numFmtId="2" fontId="0" fillId="0" borderId="1" xfId="0" applyNumberFormat="1" applyBorder="1"/>
    <xf numFmtId="0" fontId="75" fillId="0" borderId="0" xfId="0" applyFont="1" applyAlignment="1">
      <alignment horizontal="center"/>
    </xf>
    <xf numFmtId="0" fontId="76" fillId="0" borderId="0" xfId="0" applyFont="1" applyAlignment="1">
      <alignment horizontal="center"/>
    </xf>
    <xf numFmtId="0" fontId="77" fillId="0" borderId="0" xfId="0" applyFont="1" applyAlignment="1">
      <alignment horizontal="center"/>
    </xf>
    <xf numFmtId="2" fontId="75" fillId="0" borderId="0" xfId="0" applyNumberFormat="1" applyFont="1" applyAlignment="1">
      <alignment horizontal="center"/>
    </xf>
    <xf numFmtId="0" fontId="78" fillId="0" borderId="0" xfId="1" applyFont="1" applyAlignment="1">
      <alignment horizontal="center"/>
    </xf>
    <xf numFmtId="0" fontId="75" fillId="0" borderId="0" xfId="0" applyFont="1" applyAlignment="1">
      <alignment horizontal="left"/>
    </xf>
    <xf numFmtId="3" fontId="0" fillId="0" borderId="1" xfId="0" applyNumberFormat="1" applyBorder="1" applyAlignment="1">
      <alignment horizontal="right"/>
    </xf>
    <xf numFmtId="8" fontId="20" fillId="0" borderId="0" xfId="2" applyNumberFormat="1" applyFont="1"/>
    <xf numFmtId="0" fontId="0" fillId="0" borderId="0" xfId="0" quotePrefix="1" applyFont="1"/>
    <xf numFmtId="9" fontId="0" fillId="0" borderId="0" xfId="0" applyNumberFormat="1" applyFont="1" applyAlignment="1">
      <alignment horizontal="right"/>
    </xf>
    <xf numFmtId="0" fontId="54" fillId="0" borderId="0" xfId="0" applyFont="1" applyAlignment="1">
      <alignment horizontal="center"/>
    </xf>
    <xf numFmtId="0" fontId="54" fillId="0" borderId="0" xfId="0" applyFont="1" applyBorder="1" applyAlignment="1">
      <alignment horizontal="left"/>
    </xf>
    <xf numFmtId="0" fontId="54" fillId="0" borderId="0" xfId="0" applyFont="1" applyAlignment="1">
      <alignment horizontal="left"/>
    </xf>
    <xf numFmtId="0" fontId="23" fillId="0" borderId="0" xfId="0" applyFont="1" applyAlignment="1">
      <alignment horizontal="center"/>
    </xf>
    <xf numFmtId="0" fontId="38" fillId="0" borderId="0" xfId="0" applyFont="1" applyAlignment="1">
      <alignment wrapText="1"/>
    </xf>
    <xf numFmtId="0" fontId="81" fillId="0" borderId="0" xfId="1" applyFont="1" applyAlignment="1">
      <alignment horizontal="center" wrapText="1"/>
    </xf>
    <xf numFmtId="166" fontId="20" fillId="0" borderId="0" xfId="0" applyNumberFormat="1" applyFont="1"/>
    <xf numFmtId="166" fontId="20" fillId="0" borderId="0" xfId="0" applyNumberFormat="1" applyFont="1" applyAlignment="1">
      <alignment horizontal="right"/>
    </xf>
    <xf numFmtId="166" fontId="56" fillId="0" borderId="0" xfId="0" applyNumberFormat="1" applyFont="1" applyAlignment="1">
      <alignment horizontal="right"/>
    </xf>
    <xf numFmtId="0" fontId="0" fillId="0" borderId="0" xfId="0" quotePrefix="1" applyAlignment="1">
      <alignment horizontal="right"/>
    </xf>
    <xf numFmtId="10" fontId="20" fillId="0" borderId="0" xfId="0" applyNumberFormat="1" applyFont="1" applyAlignment="1">
      <alignment horizontal="left"/>
    </xf>
    <xf numFmtId="3" fontId="20" fillId="0" borderId="0" xfId="0" applyNumberFormat="1" applyFont="1" applyAlignment="1">
      <alignment horizontal="right"/>
    </xf>
    <xf numFmtId="40" fontId="0" fillId="0" borderId="0" xfId="0" applyNumberFormat="1" applyAlignment="1">
      <alignment horizontal="right"/>
    </xf>
    <xf numFmtId="44" fontId="0" fillId="0" borderId="0" xfId="2" applyFont="1" applyAlignment="1">
      <alignment horizontal="right"/>
    </xf>
    <xf numFmtId="188" fontId="0" fillId="0" borderId="0" xfId="0" applyNumberFormat="1"/>
    <xf numFmtId="188" fontId="57" fillId="0" borderId="0" xfId="0" applyNumberFormat="1" applyFont="1"/>
    <xf numFmtId="2" fontId="71" fillId="0" borderId="0" xfId="0" applyNumberFormat="1" applyFont="1"/>
    <xf numFmtId="189" fontId="0" fillId="0" borderId="0" xfId="2" applyNumberFormat="1" applyFont="1"/>
    <xf numFmtId="189" fontId="0" fillId="0" borderId="0" xfId="0" applyNumberFormat="1"/>
    <xf numFmtId="38" fontId="57" fillId="0" borderId="0" xfId="0" applyNumberFormat="1" applyFont="1"/>
    <xf numFmtId="3" fontId="57" fillId="0" borderId="0" xfId="0" applyNumberFormat="1" applyFont="1"/>
    <xf numFmtId="188" fontId="71" fillId="0" borderId="0" xfId="0" applyNumberFormat="1" applyFont="1"/>
    <xf numFmtId="166" fontId="71" fillId="0" borderId="0" xfId="0" applyNumberFormat="1" applyFont="1"/>
    <xf numFmtId="164" fontId="17" fillId="0" borderId="0" xfId="0" applyNumberFormat="1" applyFont="1"/>
    <xf numFmtId="3" fontId="71" fillId="0" borderId="0" xfId="0" applyNumberFormat="1" applyFont="1"/>
    <xf numFmtId="164" fontId="71" fillId="0" borderId="0" xfId="0" applyNumberFormat="1" applyFont="1"/>
    <xf numFmtId="0" fontId="83" fillId="0" borderId="0" xfId="0" applyFont="1"/>
    <xf numFmtId="8" fontId="0" fillId="0" borderId="0" xfId="0" applyNumberFormat="1" applyFont="1"/>
    <xf numFmtId="8" fontId="0" fillId="0" borderId="1" xfId="0" applyNumberFormat="1" applyFont="1" applyBorder="1"/>
    <xf numFmtId="8" fontId="0" fillId="0" borderId="1" xfId="0" applyNumberFormat="1" applyBorder="1"/>
    <xf numFmtId="0" fontId="84" fillId="0" borderId="0" xfId="0" applyFont="1" applyAlignment="1">
      <alignment horizontal="left"/>
    </xf>
    <xf numFmtId="9" fontId="71" fillId="0" borderId="0" xfId="0" applyNumberFormat="1" applyFont="1"/>
    <xf numFmtId="0" fontId="83" fillId="0" borderId="0" xfId="0" applyFont="1" applyAlignment="1">
      <alignment horizontal="right"/>
    </xf>
    <xf numFmtId="0" fontId="85" fillId="0" borderId="0" xfId="0" applyFont="1"/>
    <xf numFmtId="165" fontId="0" fillId="0" borderId="0" xfId="0" applyNumberFormat="1" applyFont="1" applyAlignment="1">
      <alignment horizontal="right"/>
    </xf>
    <xf numFmtId="0" fontId="20" fillId="0" borderId="0" xfId="0" applyFont="1" applyAlignment="1">
      <alignment horizontal="left" indent="1"/>
    </xf>
    <xf numFmtId="0" fontId="1" fillId="0" borderId="0" xfId="1" applyAlignment="1">
      <alignment horizontal="left" indent="1"/>
    </xf>
    <xf numFmtId="0" fontId="0" fillId="0" borderId="0" xfId="0" applyFont="1" applyBorder="1" applyAlignment="1">
      <alignment horizontal="center" wrapText="1"/>
    </xf>
    <xf numFmtId="3" fontId="0" fillId="0" borderId="0" xfId="0" applyNumberFormat="1" applyFont="1" applyAlignment="1">
      <alignment horizontal="left"/>
    </xf>
    <xf numFmtId="185" fontId="0" fillId="0" borderId="0" xfId="0" applyNumberFormat="1" applyFont="1"/>
    <xf numFmtId="3" fontId="0" fillId="0" borderId="0" xfId="0" applyNumberFormat="1" applyFont="1" applyAlignment="1">
      <alignment horizontal="right"/>
    </xf>
    <xf numFmtId="11" fontId="0" fillId="0" borderId="0" xfId="0" applyNumberFormat="1" applyAlignment="1">
      <alignment horizontal="right"/>
    </xf>
    <xf numFmtId="1" fontId="0" fillId="0" borderId="0" xfId="0" applyNumberFormat="1" applyFont="1" applyAlignment="1">
      <alignment horizontal="right"/>
    </xf>
    <xf numFmtId="185" fontId="0" fillId="0" borderId="0" xfId="0" applyNumberFormat="1" applyFont="1" applyAlignment="1">
      <alignment horizontal="right"/>
    </xf>
    <xf numFmtId="0" fontId="84" fillId="0" borderId="0" xfId="0" applyFont="1"/>
    <xf numFmtId="3" fontId="0" fillId="0" borderId="0" xfId="0" applyNumberFormat="1" applyAlignment="1">
      <alignment horizontal="left"/>
    </xf>
    <xf numFmtId="3" fontId="83" fillId="0" borderId="0" xfId="0" applyNumberFormat="1" applyFont="1" applyAlignment="1">
      <alignment horizontal="center"/>
    </xf>
    <xf numFmtId="0" fontId="86" fillId="0" borderId="0" xfId="0" applyFont="1" applyAlignment="1">
      <alignment horizontal="left"/>
    </xf>
    <xf numFmtId="1" fontId="55" fillId="0" borderId="0" xfId="0" applyNumberFormat="1" applyFont="1"/>
    <xf numFmtId="2" fontId="55" fillId="0" borderId="0" xfId="0" applyNumberFormat="1" applyFont="1"/>
    <xf numFmtId="8" fontId="2" fillId="0" borderId="0" xfId="2" applyNumberFormat="1" applyFont="1" applyBorder="1" applyAlignment="1"/>
    <xf numFmtId="0" fontId="17" fillId="0" borderId="0" xfId="0" applyFont="1" applyAlignment="1">
      <alignment horizontal="left"/>
    </xf>
    <xf numFmtId="0" fontId="51" fillId="0" borderId="0" xfId="0" applyFont="1"/>
    <xf numFmtId="0" fontId="51" fillId="0" borderId="0" xfId="0" applyFont="1" applyBorder="1" applyAlignment="1"/>
    <xf numFmtId="0" fontId="71" fillId="0" borderId="0" xfId="0" applyNumberFormat="1" applyFont="1" applyAlignment="1">
      <alignment horizontal="right"/>
    </xf>
    <xf numFmtId="0" fontId="71" fillId="0" borderId="0" xfId="0" applyFont="1" applyAlignment="1">
      <alignment horizontal="right"/>
    </xf>
    <xf numFmtId="182" fontId="57" fillId="0" borderId="0" xfId="0" applyNumberFormat="1" applyFont="1"/>
    <xf numFmtId="0" fontId="53" fillId="0" borderId="0" xfId="0" applyFont="1" applyAlignment="1">
      <alignment horizontal="left"/>
    </xf>
    <xf numFmtId="0" fontId="87" fillId="0" borderId="0" xfId="0" applyFont="1" applyFill="1" applyBorder="1" applyAlignment="1">
      <alignment horizontal="center" wrapText="1"/>
    </xf>
    <xf numFmtId="0" fontId="51" fillId="0" borderId="0" xfId="0" applyFont="1" applyFill="1" applyBorder="1" applyAlignment="1">
      <alignment horizontal="center" wrapText="1"/>
    </xf>
    <xf numFmtId="0" fontId="0" fillId="0" borderId="0" xfId="0" applyFont="1" applyFill="1" applyBorder="1" applyAlignment="1">
      <alignment horizontal="left"/>
    </xf>
    <xf numFmtId="0" fontId="64" fillId="0" borderId="0" xfId="0" applyFont="1" applyAlignment="1">
      <alignment horizontal="right"/>
    </xf>
    <xf numFmtId="0" fontId="55" fillId="0" borderId="0" xfId="0" applyFont="1" applyAlignment="1">
      <alignment horizontal="center"/>
    </xf>
    <xf numFmtId="1" fontId="0" fillId="0" borderId="0" xfId="0" applyNumberFormat="1" applyFont="1" applyAlignment="1">
      <alignment horizontal="center"/>
    </xf>
    <xf numFmtId="0" fontId="1" fillId="0" borderId="1" xfId="1" applyBorder="1"/>
    <xf numFmtId="0" fontId="0" fillId="3" borderId="0" xfId="0" applyFill="1" applyAlignment="1">
      <alignment horizontal="center"/>
    </xf>
    <xf numFmtId="0" fontId="69" fillId="0" borderId="0" xfId="0" applyFont="1"/>
    <xf numFmtId="0" fontId="69" fillId="0" borderId="0" xfId="0" applyFont="1" applyAlignment="1">
      <alignment horizontal="right"/>
    </xf>
    <xf numFmtId="0" fontId="20" fillId="0" borderId="0" xfId="0" applyFont="1" applyAlignment="1">
      <alignment wrapText="1"/>
    </xf>
    <xf numFmtId="0" fontId="20" fillId="0" borderId="0" xfId="0" applyFont="1" applyFill="1" applyBorder="1" applyAlignment="1"/>
    <xf numFmtId="0" fontId="17" fillId="0" borderId="0" xfId="0" applyFont="1" applyAlignment="1">
      <alignment horizontal="right"/>
    </xf>
    <xf numFmtId="0" fontId="3" fillId="0" borderId="0" xfId="0" applyNumberFormat="1" applyFont="1" applyAlignment="1">
      <alignment horizontal="right"/>
    </xf>
    <xf numFmtId="0" fontId="89" fillId="0" borderId="0" xfId="1" applyFont="1"/>
    <xf numFmtId="166" fontId="57" fillId="0" borderId="0" xfId="0" applyNumberFormat="1" applyFont="1"/>
    <xf numFmtId="0" fontId="17" fillId="0" borderId="0" xfId="1" applyFont="1"/>
    <xf numFmtId="0" fontId="89" fillId="0" borderId="0" xfId="0" applyFont="1" applyAlignment="1">
      <alignment horizontal="center"/>
    </xf>
    <xf numFmtId="0" fontId="0" fillId="0" borderId="0" xfId="0" applyAlignment="1">
      <alignment wrapText="1"/>
    </xf>
    <xf numFmtId="0" fontId="92" fillId="0" borderId="0" xfId="1" applyFont="1"/>
    <xf numFmtId="41" fontId="0" fillId="0" borderId="0" xfId="0" applyNumberFormat="1"/>
    <xf numFmtId="166" fontId="20" fillId="0" borderId="1" xfId="0" applyNumberFormat="1" applyFont="1" applyBorder="1" applyAlignment="1">
      <alignment horizontal="center"/>
    </xf>
    <xf numFmtId="190" fontId="20" fillId="0" borderId="0" xfId="0" applyNumberFormat="1" applyFont="1"/>
    <xf numFmtId="191" fontId="20" fillId="0" borderId="0" xfId="0" applyNumberFormat="1" applyFont="1"/>
    <xf numFmtId="3" fontId="0" fillId="0" borderId="0" xfId="0" applyNumberFormat="1" applyAlignment="1"/>
    <xf numFmtId="0" fontId="19" fillId="0" borderId="0" xfId="0" applyFont="1" applyAlignment="1">
      <alignment horizontal="center" wrapText="1"/>
    </xf>
    <xf numFmtId="192" fontId="0" fillId="0" borderId="0" xfId="0" applyNumberFormat="1"/>
    <xf numFmtId="11" fontId="19" fillId="0" borderId="1" xfId="0" applyNumberFormat="1" applyFont="1" applyBorder="1" applyAlignment="1">
      <alignment horizontal="center"/>
    </xf>
    <xf numFmtId="192" fontId="19" fillId="0" borderId="1" xfId="0" applyNumberFormat="1" applyFont="1" applyBorder="1" applyAlignment="1">
      <alignment horizontal="center"/>
    </xf>
    <xf numFmtId="3" fontId="19" fillId="0" borderId="1" xfId="0" applyNumberFormat="1" applyFont="1" applyBorder="1" applyAlignment="1">
      <alignment horizontal="center"/>
    </xf>
    <xf numFmtId="4" fontId="19" fillId="0" borderId="1" xfId="0" applyNumberFormat="1" applyFont="1" applyBorder="1" applyAlignment="1">
      <alignment horizontal="center"/>
    </xf>
    <xf numFmtId="3" fontId="3" fillId="0" borderId="0" xfId="0" applyNumberFormat="1" applyFont="1"/>
    <xf numFmtId="0" fontId="4" fillId="0" borderId="1" xfId="0" applyFont="1" applyBorder="1" applyAlignment="1">
      <alignment horizontal="center" wrapText="1"/>
    </xf>
    <xf numFmtId="38" fontId="0" fillId="0" borderId="0" xfId="0" applyNumberFormat="1"/>
    <xf numFmtId="193" fontId="0" fillId="0" borderId="0" xfId="0" applyNumberFormat="1"/>
    <xf numFmtId="14" fontId="0" fillId="0" borderId="0" xfId="0" applyNumberFormat="1" applyAlignment="1">
      <alignment horizontal="right"/>
    </xf>
    <xf numFmtId="3" fontId="27" fillId="0" borderId="0" xfId="0" applyNumberFormat="1" applyFont="1" applyAlignment="1">
      <alignment horizontal="right"/>
    </xf>
    <xf numFmtId="44" fontId="93" fillId="0" borderId="0" xfId="0" applyNumberFormat="1" applyFont="1"/>
    <xf numFmtId="0" fontId="88" fillId="0" borderId="0" xfId="0" applyFont="1" applyAlignment="1">
      <alignment horizontal="right"/>
    </xf>
    <xf numFmtId="0" fontId="51" fillId="0" borderId="0" xfId="0" applyFont="1" applyFill="1" applyBorder="1" applyAlignment="1">
      <alignment horizontal="left"/>
    </xf>
    <xf numFmtId="0" fontId="94" fillId="0" borderId="0" xfId="0" applyFont="1"/>
    <xf numFmtId="0" fontId="24" fillId="3" borderId="0" xfId="0" applyFont="1" applyFill="1"/>
    <xf numFmtId="0" fontId="95" fillId="0" borderId="0" xfId="0" applyFont="1"/>
    <xf numFmtId="0" fontId="96" fillId="0" borderId="0" xfId="0" applyFont="1"/>
    <xf numFmtId="0" fontId="97" fillId="0" borderId="0" xfId="0" applyFont="1"/>
    <xf numFmtId="0" fontId="33" fillId="0" borderId="0" xfId="0" applyFont="1"/>
    <xf numFmtId="0" fontId="98" fillId="0" borderId="0" xfId="0" applyFont="1"/>
    <xf numFmtId="0" fontId="99" fillId="0" borderId="0" xfId="1" applyFont="1"/>
    <xf numFmtId="0" fontId="33" fillId="0" borderId="0" xfId="0" applyFont="1" applyAlignment="1">
      <alignment horizontal="right"/>
    </xf>
    <xf numFmtId="0" fontId="100" fillId="0" borderId="0" xfId="0" applyFont="1"/>
    <xf numFmtId="0" fontId="88" fillId="0" borderId="0" xfId="0" applyFont="1"/>
    <xf numFmtId="0" fontId="0" fillId="0" borderId="0" xfId="0" applyFont="1" applyAlignment="1">
      <alignment horizontal="left" indent="1"/>
    </xf>
    <xf numFmtId="0" fontId="23" fillId="3" borderId="0" xfId="0" applyFont="1" applyFill="1"/>
    <xf numFmtId="0" fontId="20" fillId="0" borderId="1" xfId="0" applyFont="1" applyBorder="1" applyAlignment="1">
      <alignment horizontal="left"/>
    </xf>
    <xf numFmtId="0" fontId="0" fillId="0" borderId="1" xfId="0" applyBorder="1" applyAlignment="1">
      <alignment horizontal="left"/>
    </xf>
    <xf numFmtId="0" fontId="0" fillId="0" borderId="1" xfId="0" applyFont="1" applyBorder="1" applyAlignment="1">
      <alignment horizontal="left"/>
    </xf>
    <xf numFmtId="0" fontId="20" fillId="0" borderId="0" xfId="2" applyNumberFormat="1" applyFont="1" applyBorder="1" applyAlignment="1"/>
    <xf numFmtId="0" fontId="33" fillId="0" borderId="0" xfId="0" applyFont="1" applyAlignment="1">
      <alignment horizontal="left"/>
    </xf>
    <xf numFmtId="166" fontId="0" fillId="0" borderId="0" xfId="0" applyNumberFormat="1" applyAlignment="1">
      <alignment horizontal="left"/>
    </xf>
    <xf numFmtId="164" fontId="0" fillId="0" borderId="0" xfId="0" applyNumberFormat="1" applyAlignment="1">
      <alignment horizontal="right"/>
    </xf>
    <xf numFmtId="0" fontId="101" fillId="0" borderId="0" xfId="0" applyFont="1" applyAlignment="1">
      <alignment horizontal="left"/>
    </xf>
    <xf numFmtId="0" fontId="66" fillId="0" borderId="0" xfId="0" applyFont="1"/>
    <xf numFmtId="0" fontId="82" fillId="0" borderId="0" xfId="0" applyFont="1"/>
    <xf numFmtId="0" fontId="64" fillId="0" borderId="0" xfId="0" applyFont="1" applyFill="1" applyAlignment="1">
      <alignment horizontal="right"/>
    </xf>
    <xf numFmtId="0" fontId="103" fillId="0" borderId="0" xfId="0" applyFont="1"/>
    <xf numFmtId="185" fontId="0" fillId="0" borderId="0" xfId="0" applyNumberFormat="1" applyAlignment="1">
      <alignment horizontal="left"/>
    </xf>
    <xf numFmtId="4" fontId="0" fillId="0" borderId="1" xfId="0" applyNumberFormat="1" applyBorder="1"/>
    <xf numFmtId="4" fontId="0" fillId="0" borderId="0" xfId="0" applyNumberFormat="1" applyBorder="1"/>
    <xf numFmtId="2" fontId="0" fillId="0" borderId="0" xfId="0" applyNumberFormat="1" applyFont="1" applyAlignment="1">
      <alignment horizontal="left"/>
    </xf>
    <xf numFmtId="0" fontId="104" fillId="0" borderId="0" xfId="0" applyFont="1"/>
    <xf numFmtId="0" fontId="104" fillId="0" borderId="0" xfId="0" applyFont="1" applyAlignment="1">
      <alignment horizontal="left"/>
    </xf>
    <xf numFmtId="0" fontId="105" fillId="0" borderId="0" xfId="0" applyFont="1"/>
    <xf numFmtId="3" fontId="0" fillId="0" borderId="0" xfId="4" applyNumberFormat="1" applyFont="1"/>
    <xf numFmtId="4" fontId="0" fillId="0" borderId="0" xfId="4" applyNumberFormat="1" applyFont="1"/>
    <xf numFmtId="2" fontId="0" fillId="0" borderId="0" xfId="4" applyNumberFormat="1" applyFont="1"/>
    <xf numFmtId="2" fontId="17" fillId="0" borderId="0" xfId="0" applyNumberFormat="1" applyFont="1" applyFill="1"/>
    <xf numFmtId="194" fontId="0" fillId="0" borderId="0" xfId="0" applyNumberFormat="1"/>
    <xf numFmtId="0" fontId="104" fillId="0" borderId="0" xfId="0" applyFont="1" applyAlignment="1">
      <alignment horizontal="center"/>
    </xf>
    <xf numFmtId="0" fontId="0" fillId="0" borderId="0" xfId="0" applyFont="1" applyBorder="1"/>
    <xf numFmtId="166" fontId="20" fillId="0" borderId="1" xfId="0" applyNumberFormat="1" applyFont="1" applyBorder="1" applyAlignment="1">
      <alignment horizontal="center" wrapText="1"/>
    </xf>
    <xf numFmtId="2" fontId="20" fillId="0" borderId="1" xfId="0" applyNumberFormat="1" applyFont="1" applyBorder="1" applyAlignment="1">
      <alignment horizontal="center" wrapText="1"/>
    </xf>
    <xf numFmtId="166" fontId="20" fillId="0" borderId="1" xfId="0" applyNumberFormat="1" applyFont="1" applyBorder="1"/>
    <xf numFmtId="0" fontId="108" fillId="0" borderId="0" xfId="0" applyFont="1"/>
    <xf numFmtId="0" fontId="109" fillId="0" borderId="0" xfId="0" applyFont="1"/>
    <xf numFmtId="164" fontId="108" fillId="0" borderId="0" xfId="0" applyNumberFormat="1" applyFont="1"/>
    <xf numFmtId="166" fontId="108" fillId="0" borderId="0" xfId="0" applyNumberFormat="1" applyFont="1"/>
    <xf numFmtId="1" fontId="108" fillId="0" borderId="0" xfId="0" applyNumberFormat="1" applyFont="1"/>
    <xf numFmtId="0" fontId="108" fillId="0" borderId="7" xfId="0" applyFont="1" applyBorder="1"/>
    <xf numFmtId="166" fontId="108" fillId="0" borderId="7" xfId="0" applyNumberFormat="1" applyFont="1" applyBorder="1"/>
    <xf numFmtId="2" fontId="108" fillId="0" borderId="0" xfId="0" applyNumberFormat="1" applyFont="1"/>
    <xf numFmtId="164" fontId="108" fillId="0" borderId="7" xfId="0" applyNumberFormat="1" applyFont="1" applyBorder="1"/>
    <xf numFmtId="0" fontId="108" fillId="0" borderId="0" xfId="0" applyFont="1" applyAlignment="1">
      <alignment horizontal="right"/>
    </xf>
    <xf numFmtId="0" fontId="110" fillId="0" borderId="0" xfId="1" applyFont="1"/>
    <xf numFmtId="0" fontId="109" fillId="0" borderId="0" xfId="0" applyFont="1" applyAlignment="1">
      <alignment horizontal="left"/>
    </xf>
    <xf numFmtId="2" fontId="108" fillId="0" borderId="0" xfId="0" applyNumberFormat="1" applyFont="1" applyAlignment="1">
      <alignment horizontal="right"/>
    </xf>
    <xf numFmtId="166" fontId="109" fillId="0" borderId="0" xfId="0" applyNumberFormat="1" applyFont="1"/>
    <xf numFmtId="0" fontId="108" fillId="0" borderId="0" xfId="0" applyFont="1" applyBorder="1"/>
    <xf numFmtId="166" fontId="108" fillId="0" borderId="0" xfId="0" applyNumberFormat="1" applyFont="1" applyBorder="1"/>
    <xf numFmtId="0" fontId="112" fillId="0" borderId="0" xfId="0" applyFont="1"/>
    <xf numFmtId="3" fontId="108" fillId="0" borderId="0" xfId="0" applyNumberFormat="1" applyFont="1" applyAlignment="1">
      <alignment horizontal="right"/>
    </xf>
    <xf numFmtId="3" fontId="108" fillId="0" borderId="0" xfId="0" applyNumberFormat="1" applyFont="1"/>
    <xf numFmtId="1" fontId="108" fillId="0" borderId="0" xfId="0" applyNumberFormat="1" applyFont="1" applyAlignment="1">
      <alignment horizontal="right"/>
    </xf>
    <xf numFmtId="4" fontId="109" fillId="0" borderId="0" xfId="0" applyNumberFormat="1" applyFont="1"/>
    <xf numFmtId="164" fontId="108" fillId="0" borderId="0" xfId="0" applyNumberFormat="1" applyFont="1" applyAlignment="1">
      <alignment horizontal="right"/>
    </xf>
    <xf numFmtId="4" fontId="108" fillId="0" borderId="0" xfId="0" applyNumberFormat="1" applyFont="1"/>
    <xf numFmtId="0" fontId="113" fillId="0" borderId="0" xfId="0" applyFont="1"/>
    <xf numFmtId="0" fontId="109" fillId="0" borderId="1" xfId="0" applyFont="1" applyBorder="1" applyAlignment="1">
      <alignment horizontal="center" wrapText="1"/>
    </xf>
    <xf numFmtId="0" fontId="109" fillId="0" borderId="8" xfId="0" applyFont="1" applyBorder="1" applyAlignment="1">
      <alignment horizontal="center" wrapText="1"/>
    </xf>
    <xf numFmtId="0" fontId="109" fillId="0" borderId="1" xfId="0" applyFont="1" applyFill="1" applyBorder="1" applyAlignment="1">
      <alignment horizontal="center" wrapText="1"/>
    </xf>
    <xf numFmtId="3" fontId="109" fillId="0" borderId="1" xfId="0" applyNumberFormat="1" applyFont="1" applyFill="1" applyBorder="1" applyAlignment="1">
      <alignment horizontal="left"/>
    </xf>
    <xf numFmtId="3" fontId="109" fillId="0" borderId="1" xfId="0" applyNumberFormat="1" applyFont="1" applyFill="1" applyBorder="1"/>
    <xf numFmtId="3" fontId="109" fillId="0" borderId="1" xfId="0" applyNumberFormat="1" applyFont="1" applyBorder="1" applyAlignment="1">
      <alignment horizontal="left"/>
    </xf>
    <xf numFmtId="3" fontId="109" fillId="0" borderId="1" xfId="0" applyNumberFormat="1" applyFont="1" applyBorder="1"/>
    <xf numFmtId="0" fontId="109" fillId="0" borderId="0" xfId="0" applyFont="1" applyBorder="1"/>
    <xf numFmtId="0" fontId="108" fillId="0" borderId="1" xfId="0" applyFont="1" applyBorder="1"/>
    <xf numFmtId="4" fontId="108" fillId="0" borderId="1" xfId="0" applyNumberFormat="1" applyFont="1" applyBorder="1"/>
    <xf numFmtId="0" fontId="109" fillId="0" borderId="1" xfId="0" applyFont="1" applyBorder="1"/>
    <xf numFmtId="0" fontId="114" fillId="0" borderId="0" xfId="0" applyFont="1"/>
    <xf numFmtId="1" fontId="108" fillId="0" borderId="1" xfId="0" applyNumberFormat="1" applyFont="1" applyBorder="1"/>
    <xf numFmtId="2" fontId="108" fillId="0" borderId="1" xfId="0" applyNumberFormat="1" applyFont="1" applyBorder="1"/>
    <xf numFmtId="9" fontId="108" fillId="0" borderId="0" xfId="0" applyNumberFormat="1" applyFont="1"/>
    <xf numFmtId="2" fontId="20" fillId="0" borderId="0" xfId="0" applyNumberFormat="1" applyFont="1" applyAlignment="1">
      <alignment horizontal="left"/>
    </xf>
    <xf numFmtId="2" fontId="57" fillId="0" borderId="0" xfId="4" applyNumberFormat="1" applyFont="1"/>
    <xf numFmtId="0" fontId="0" fillId="0" borderId="0" xfId="0" applyFont="1" applyFill="1"/>
    <xf numFmtId="185" fontId="0" fillId="0" borderId="0" xfId="0" applyNumberFormat="1" applyFill="1"/>
    <xf numFmtId="0" fontId="115" fillId="0" borderId="0" xfId="0" applyFont="1"/>
    <xf numFmtId="0" fontId="0" fillId="0" borderId="0" xfId="0" applyFont="1" applyFill="1" applyBorder="1"/>
    <xf numFmtId="185" fontId="15" fillId="0" borderId="0" xfId="0" applyNumberFormat="1" applyFont="1"/>
    <xf numFmtId="185" fontId="15" fillId="0" borderId="0" xfId="0" applyNumberFormat="1" applyFont="1" applyFill="1"/>
    <xf numFmtId="4" fontId="15" fillId="0" borderId="0" xfId="0" applyNumberFormat="1" applyFont="1"/>
    <xf numFmtId="4" fontId="15" fillId="0" borderId="1" xfId="0" applyNumberFormat="1" applyFont="1" applyBorder="1"/>
    <xf numFmtId="194" fontId="15" fillId="0" borderId="0" xfId="0" applyNumberFormat="1" applyFont="1"/>
    <xf numFmtId="182" fontId="15" fillId="0" borderId="0" xfId="0" applyNumberFormat="1" applyFont="1"/>
    <xf numFmtId="185" fontId="17" fillId="0" borderId="0" xfId="0" applyNumberFormat="1" applyFont="1"/>
    <xf numFmtId="3" fontId="17" fillId="0" borderId="0" xfId="0" applyNumberFormat="1" applyFont="1"/>
    <xf numFmtId="0" fontId="65" fillId="0" borderId="1" xfId="0" applyFont="1" applyBorder="1" applyAlignment="1">
      <alignment horizontal="center" wrapText="1"/>
    </xf>
    <xf numFmtId="0" fontId="65" fillId="0" borderId="1" xfId="0" applyFont="1" applyBorder="1"/>
    <xf numFmtId="3" fontId="65" fillId="0" borderId="0" xfId="0" applyNumberFormat="1" applyFont="1" applyAlignment="1">
      <alignment horizontal="right"/>
    </xf>
    <xf numFmtId="3" fontId="65" fillId="0" borderId="0" xfId="0" applyNumberFormat="1" applyFont="1"/>
    <xf numFmtId="164" fontId="17" fillId="0" borderId="0" xfId="0" applyNumberFormat="1" applyFont="1" applyAlignment="1">
      <alignment horizontal="right"/>
    </xf>
    <xf numFmtId="4" fontId="17" fillId="0" borderId="0" xfId="0" applyNumberFormat="1" applyFont="1"/>
    <xf numFmtId="1" fontId="17" fillId="0" borderId="0" xfId="0" applyNumberFormat="1" applyFont="1" applyAlignment="1">
      <alignment horizontal="right"/>
    </xf>
    <xf numFmtId="0" fontId="18" fillId="0" borderId="0" xfId="0" applyFont="1"/>
    <xf numFmtId="2" fontId="28" fillId="0" borderId="0" xfId="0" applyNumberFormat="1" applyFont="1"/>
    <xf numFmtId="3" fontId="28" fillId="0" borderId="0" xfId="0" applyNumberFormat="1" applyFont="1"/>
    <xf numFmtId="182" fontId="0" fillId="0" borderId="0" xfId="0" applyNumberFormat="1" applyBorder="1"/>
    <xf numFmtId="182" fontId="17" fillId="0" borderId="0" xfId="0" applyNumberFormat="1" applyFont="1"/>
    <xf numFmtId="1" fontId="28" fillId="0" borderId="0" xfId="0" applyNumberFormat="1" applyFont="1"/>
    <xf numFmtId="0" fontId="17" fillId="0" borderId="0" xfId="0" applyFont="1" applyFill="1" applyBorder="1"/>
    <xf numFmtId="2" fontId="17" fillId="0" borderId="0" xfId="4" applyNumberFormat="1" applyFont="1"/>
    <xf numFmtId="0" fontId="118" fillId="0" borderId="0" xfId="0" applyFont="1"/>
    <xf numFmtId="2" fontId="65" fillId="0" borderId="0" xfId="4" applyNumberFormat="1" applyFont="1"/>
    <xf numFmtId="0" fontId="65" fillId="0" borderId="0" xfId="0" applyFont="1" applyAlignment="1">
      <alignment horizontal="right"/>
    </xf>
    <xf numFmtId="10" fontId="17" fillId="0" borderId="0" xfId="4" applyNumberFormat="1" applyFont="1"/>
    <xf numFmtId="174" fontId="115" fillId="0" borderId="0" xfId="4" applyNumberFormat="1" applyFont="1"/>
    <xf numFmtId="3" fontId="115" fillId="0" borderId="0" xfId="0" applyNumberFormat="1" applyFont="1"/>
    <xf numFmtId="185" fontId="115" fillId="0" borderId="0" xfId="0" applyNumberFormat="1" applyFont="1"/>
    <xf numFmtId="0" fontId="65" fillId="0" borderId="0" xfId="1" applyFont="1"/>
    <xf numFmtId="0" fontId="119" fillId="0" borderId="0" xfId="0" applyFont="1" applyAlignment="1">
      <alignment horizontal="right"/>
    </xf>
    <xf numFmtId="6" fontId="20" fillId="0" borderId="1" xfId="0" applyNumberFormat="1" applyFont="1" applyBorder="1" applyAlignment="1">
      <alignment horizontal="center" wrapText="1"/>
    </xf>
    <xf numFmtId="0" fontId="1" fillId="0" borderId="0" xfId="1" applyBorder="1"/>
    <xf numFmtId="10" fontId="57" fillId="0" borderId="0" xfId="0" applyNumberFormat="1" applyFont="1" applyAlignment="1">
      <alignment horizontal="right"/>
    </xf>
    <xf numFmtId="10" fontId="57" fillId="0" borderId="0" xfId="0" applyNumberFormat="1" applyFont="1" applyBorder="1" applyAlignment="1">
      <alignment horizontal="right" wrapText="1"/>
    </xf>
    <xf numFmtId="10" fontId="40" fillId="0" borderId="0" xfId="0" applyNumberFormat="1" applyFont="1" applyBorder="1" applyAlignment="1">
      <alignment horizontal="right" wrapText="1"/>
    </xf>
    <xf numFmtId="0" fontId="23" fillId="0" borderId="0" xfId="0" applyFont="1" applyBorder="1" applyAlignment="1">
      <alignment horizontal="right" wrapText="1"/>
    </xf>
    <xf numFmtId="0" fontId="32" fillId="0" borderId="0" xfId="0" applyFont="1" applyBorder="1" applyAlignment="1">
      <alignment horizontal="right" wrapText="1"/>
    </xf>
    <xf numFmtId="10" fontId="32" fillId="0" borderId="0" xfId="0" applyNumberFormat="1" applyFont="1" applyBorder="1" applyAlignment="1">
      <alignment horizontal="right" wrapText="1"/>
    </xf>
    <xf numFmtId="2" fontId="20" fillId="0" borderId="0" xfId="0" applyNumberFormat="1" applyFont="1" applyAlignment="1">
      <alignment horizontal="left" indent="1"/>
    </xf>
    <xf numFmtId="1" fontId="20" fillId="0" borderId="0" xfId="0" applyNumberFormat="1" applyFont="1"/>
    <xf numFmtId="0" fontId="104" fillId="0" borderId="0" xfId="0" applyFont="1" applyBorder="1" applyAlignment="1">
      <alignment horizontal="left"/>
    </xf>
    <xf numFmtId="0" fontId="121" fillId="0" borderId="0" xfId="0" applyFont="1"/>
    <xf numFmtId="0" fontId="121" fillId="0" borderId="1" xfId="0" applyFont="1" applyBorder="1"/>
    <xf numFmtId="0" fontId="121" fillId="0" borderId="1" xfId="0" applyFont="1" applyBorder="1" applyAlignment="1">
      <alignment horizontal="center"/>
    </xf>
    <xf numFmtId="10" fontId="124" fillId="0" borderId="0" xfId="0" applyNumberFormat="1" applyFont="1" applyAlignment="1">
      <alignment horizontal="right"/>
    </xf>
    <xf numFmtId="0" fontId="125" fillId="0" borderId="0" xfId="0" applyFont="1" applyAlignment="1"/>
    <xf numFmtId="166" fontId="0" fillId="0" borderId="0" xfId="0" applyNumberFormat="1" applyFont="1"/>
    <xf numFmtId="10" fontId="0" fillId="0" borderId="0" xfId="0" applyNumberFormat="1" applyFont="1"/>
    <xf numFmtId="164" fontId="0" fillId="0" borderId="0" xfId="0" applyNumberFormat="1" applyFont="1" applyAlignment="1">
      <alignment horizontal="left"/>
    </xf>
    <xf numFmtId="174" fontId="0" fillId="0" borderId="0" xfId="0" applyNumberFormat="1" applyFont="1" applyAlignment="1">
      <alignment horizontal="right"/>
    </xf>
    <xf numFmtId="174" fontId="20" fillId="0" borderId="0" xfId="0" applyNumberFormat="1" applyFont="1"/>
    <xf numFmtId="0" fontId="0" fillId="0" borderId="1" xfId="0" applyFont="1" applyBorder="1" applyAlignment="1">
      <alignment horizontal="right"/>
    </xf>
    <xf numFmtId="10" fontId="0" fillId="0" borderId="1" xfId="4" applyNumberFormat="1" applyFont="1" applyBorder="1" applyAlignment="1">
      <alignment horizontal="right"/>
    </xf>
    <xf numFmtId="10" fontId="0" fillId="0" borderId="1" xfId="0" applyNumberFormat="1" applyFont="1" applyBorder="1" applyAlignment="1">
      <alignment horizontal="right"/>
    </xf>
    <xf numFmtId="182" fontId="0" fillId="0" borderId="0" xfId="0" applyNumberFormat="1" applyFont="1" applyAlignment="1">
      <alignment horizontal="right"/>
    </xf>
    <xf numFmtId="174" fontId="28" fillId="0" borderId="0" xfId="0" applyNumberFormat="1" applyFont="1" applyAlignment="1">
      <alignment horizontal="right"/>
    </xf>
    <xf numFmtId="164" fontId="28" fillId="0" borderId="0" xfId="0" applyNumberFormat="1" applyFont="1" applyAlignment="1">
      <alignment horizontal="right"/>
    </xf>
    <xf numFmtId="164" fontId="20" fillId="0" borderId="0" xfId="0" applyNumberFormat="1" applyFont="1" applyAlignment="1">
      <alignment horizontal="left"/>
    </xf>
    <xf numFmtId="9" fontId="0" fillId="0" borderId="0" xfId="0" applyNumberFormat="1" applyAlignment="1">
      <alignment horizontal="right"/>
    </xf>
    <xf numFmtId="0" fontId="28" fillId="0" borderId="0" xfId="0" applyFont="1" applyAlignment="1">
      <alignment horizontal="left"/>
    </xf>
    <xf numFmtId="2" fontId="15" fillId="0" borderId="0" xfId="0" applyNumberFormat="1" applyFont="1"/>
    <xf numFmtId="166" fontId="15" fillId="0" borderId="0" xfId="0" applyNumberFormat="1" applyFont="1" applyAlignment="1">
      <alignment horizontal="right"/>
    </xf>
    <xf numFmtId="0" fontId="40" fillId="0" borderId="0" xfId="0" applyFont="1"/>
    <xf numFmtId="0" fontId="20" fillId="0" borderId="0" xfId="0" applyFont="1" applyFill="1" applyBorder="1"/>
    <xf numFmtId="0" fontId="126" fillId="0" borderId="0" xfId="0" applyFont="1"/>
    <xf numFmtId="164" fontId="30" fillId="0" borderId="0" xfId="0" applyNumberFormat="1" applyFont="1" applyAlignment="1">
      <alignment horizontal="right"/>
    </xf>
    <xf numFmtId="0" fontId="11" fillId="0" borderId="0" xfId="0" applyFont="1"/>
    <xf numFmtId="0" fontId="11" fillId="0" borderId="0" xfId="0" applyFont="1" applyAlignment="1"/>
    <xf numFmtId="0" fontId="15" fillId="0" borderId="1" xfId="0" applyFont="1" applyBorder="1"/>
    <xf numFmtId="0" fontId="40" fillId="0" borderId="1" xfId="0" applyFont="1" applyBorder="1"/>
    <xf numFmtId="0" fontId="0" fillId="0" borderId="0" xfId="2" applyNumberFormat="1" applyFont="1"/>
    <xf numFmtId="0" fontId="20" fillId="0" borderId="1" xfId="0" applyFont="1" applyBorder="1" applyAlignment="1">
      <alignment horizontal="right"/>
    </xf>
    <xf numFmtId="166" fontId="20" fillId="0" borderId="0" xfId="0" applyNumberFormat="1" applyFont="1" applyAlignment="1">
      <alignment horizontal="left"/>
    </xf>
    <xf numFmtId="3" fontId="0" fillId="0" borderId="0" xfId="2" applyNumberFormat="1" applyFont="1"/>
    <xf numFmtId="195" fontId="0" fillId="0" borderId="0" xfId="0" applyNumberFormat="1"/>
    <xf numFmtId="195" fontId="2" fillId="0" borderId="0" xfId="2" applyNumberFormat="1" applyFont="1" applyBorder="1" applyAlignment="1"/>
    <xf numFmtId="0" fontId="104" fillId="0" borderId="0" xfId="0" quotePrefix="1" applyFont="1" applyBorder="1" applyAlignment="1">
      <alignment horizontal="left"/>
    </xf>
    <xf numFmtId="174" fontId="0" fillId="0" borderId="0" xfId="0" quotePrefix="1" applyNumberFormat="1" applyAlignment="1">
      <alignment horizontal="right"/>
    </xf>
    <xf numFmtId="0" fontId="20" fillId="0" borderId="0" xfId="0" quotePrefix="1" applyNumberFormat="1" applyFont="1" applyAlignment="1">
      <alignment horizontal="right"/>
    </xf>
    <xf numFmtId="2" fontId="20" fillId="0" borderId="0" xfId="0" applyNumberFormat="1" applyFont="1" applyAlignment="1">
      <alignment horizontal="right"/>
    </xf>
    <xf numFmtId="164" fontId="0" fillId="0" borderId="0" xfId="0" applyNumberFormat="1" applyFont="1" applyFill="1" applyBorder="1" applyAlignment="1">
      <alignment horizontal="center" wrapText="1"/>
    </xf>
    <xf numFmtId="185" fontId="0" fillId="0" borderId="0" xfId="0" quotePrefix="1" applyNumberFormat="1"/>
    <xf numFmtId="0" fontId="75" fillId="0" borderId="0" xfId="0" applyFont="1"/>
    <xf numFmtId="0" fontId="127" fillId="0" borderId="0" xfId="0" applyFont="1" applyAlignment="1">
      <alignment horizontal="right"/>
    </xf>
    <xf numFmtId="166" fontId="20" fillId="0" borderId="0" xfId="0" applyNumberFormat="1" applyFont="1" applyAlignment="1">
      <alignment horizontal="left" indent="1"/>
    </xf>
    <xf numFmtId="0" fontId="0" fillId="0" borderId="0" xfId="0" quotePrefix="1" applyFont="1" applyAlignment="1">
      <alignment horizontal="left" indent="1"/>
    </xf>
    <xf numFmtId="44" fontId="0" fillId="0" borderId="0" xfId="0" applyNumberFormat="1" applyFont="1"/>
    <xf numFmtId="0" fontId="0" fillId="0" borderId="0" xfId="0" quotePrefix="1" applyFont="1" applyAlignment="1">
      <alignment horizontal="left"/>
    </xf>
    <xf numFmtId="2" fontId="38" fillId="0" borderId="0" xfId="0" applyNumberFormat="1" applyFont="1"/>
    <xf numFmtId="0" fontId="0" fillId="0" borderId="18" xfId="0" applyBorder="1"/>
    <xf numFmtId="0" fontId="129" fillId="0" borderId="0" xfId="0" applyFont="1"/>
    <xf numFmtId="0" fontId="130" fillId="0" borderId="0" xfId="0" applyFont="1"/>
    <xf numFmtId="0" fontId="20" fillId="0" borderId="18" xfId="0" applyFont="1" applyBorder="1" applyAlignment="1">
      <alignment horizontal="center"/>
    </xf>
    <xf numFmtId="1" fontId="20" fillId="0" borderId="0" xfId="0" applyNumberFormat="1" applyFont="1" applyAlignment="1">
      <alignment horizontal="right"/>
    </xf>
    <xf numFmtId="1" fontId="1" fillId="0" borderId="0" xfId="1" applyNumberFormat="1"/>
    <xf numFmtId="166" fontId="28" fillId="0" borderId="0" xfId="0" applyNumberFormat="1" applyFont="1"/>
    <xf numFmtId="1" fontId="129" fillId="0" borderId="0" xfId="0" applyNumberFormat="1" applyFont="1"/>
    <xf numFmtId="0" fontId="131" fillId="0" borderId="0" xfId="0" applyFont="1"/>
    <xf numFmtId="0" fontId="129" fillId="0" borderId="0" xfId="0" applyFont="1" applyBorder="1" applyAlignment="1">
      <alignment horizontal="right"/>
    </xf>
    <xf numFmtId="0" fontId="1" fillId="0" borderId="18" xfId="1" applyBorder="1"/>
    <xf numFmtId="0" fontId="132" fillId="0" borderId="0" xfId="0" applyFont="1"/>
    <xf numFmtId="0" fontId="133" fillId="0" borderId="0" xfId="0" applyFont="1"/>
    <xf numFmtId="0" fontId="133" fillId="0" borderId="0" xfId="0" applyFont="1" applyAlignment="1">
      <alignment horizontal="left"/>
    </xf>
    <xf numFmtId="0" fontId="49" fillId="0" borderId="0" xfId="0" applyFont="1" applyFill="1" applyBorder="1" applyAlignment="1"/>
    <xf numFmtId="0" fontId="32" fillId="0" borderId="0" xfId="0" applyFont="1" applyFill="1"/>
    <xf numFmtId="166" fontId="134" fillId="0" borderId="0" xfId="0" applyNumberFormat="1" applyFont="1" applyAlignment="1">
      <alignment horizontal="left" indent="1"/>
    </xf>
    <xf numFmtId="0" fontId="134" fillId="0" borderId="0" xfId="0" applyFont="1" applyAlignment="1">
      <alignment horizontal="left" indent="1"/>
    </xf>
    <xf numFmtId="166" fontId="65" fillId="0" borderId="0" xfId="0" applyNumberFormat="1" applyFont="1" applyAlignment="1">
      <alignment horizontal="left" indent="1"/>
    </xf>
    <xf numFmtId="0" fontId="69" fillId="0" borderId="0" xfId="0" applyFont="1" applyAlignment="1">
      <alignment horizontal="left"/>
    </xf>
    <xf numFmtId="0" fontId="69" fillId="0" borderId="0" xfId="0" applyFont="1" applyAlignment="1">
      <alignment horizontal="left" indent="1"/>
    </xf>
    <xf numFmtId="2" fontId="69" fillId="0" borderId="0" xfId="0" applyNumberFormat="1" applyFont="1"/>
    <xf numFmtId="1" fontId="69" fillId="0" borderId="0" xfId="0" applyNumberFormat="1" applyFont="1"/>
    <xf numFmtId="0" fontId="69" fillId="0" borderId="0" xfId="0" quotePrefix="1" applyFont="1" applyAlignment="1">
      <alignment horizontal="left"/>
    </xf>
    <xf numFmtId="2" fontId="138" fillId="0" borderId="0" xfId="0" applyNumberFormat="1" applyFont="1"/>
    <xf numFmtId="44" fontId="69" fillId="0" borderId="0" xfId="0" applyNumberFormat="1" applyFont="1"/>
    <xf numFmtId="2" fontId="1" fillId="0" borderId="0" xfId="1" applyNumberFormat="1"/>
    <xf numFmtId="0" fontId="20" fillId="0" borderId="0" xfId="0" applyFont="1" applyFill="1" applyBorder="1" applyAlignment="1">
      <alignment horizontal="center" wrapText="1"/>
    </xf>
    <xf numFmtId="3" fontId="139" fillId="0" borderId="0" xfId="0" applyNumberFormat="1" applyFont="1"/>
    <xf numFmtId="3" fontId="74" fillId="0" borderId="0" xfId="0" applyNumberFormat="1" applyFont="1"/>
    <xf numFmtId="10" fontId="20" fillId="0" borderId="0" xfId="4" applyNumberFormat="1" applyFont="1" applyAlignment="1">
      <alignment horizontal="left" indent="1"/>
    </xf>
    <xf numFmtId="165" fontId="0" fillId="0" borderId="0" xfId="0" applyNumberFormat="1" applyFont="1"/>
    <xf numFmtId="0" fontId="4" fillId="0" borderId="0" xfId="0" applyFont="1"/>
    <xf numFmtId="0" fontId="0" fillId="0" borderId="0" xfId="0" applyNumberFormat="1" applyFont="1"/>
    <xf numFmtId="0" fontId="14" fillId="0" borderId="0" xfId="0" applyFont="1"/>
    <xf numFmtId="0" fontId="141" fillId="0" borderId="1" xfId="0" applyFont="1" applyBorder="1"/>
    <xf numFmtId="0" fontId="126" fillId="0" borderId="1" xfId="0" applyFont="1" applyBorder="1" applyAlignment="1">
      <alignment horizontal="center"/>
    </xf>
    <xf numFmtId="0" fontId="70" fillId="0" borderId="1" xfId="1" applyFont="1" applyBorder="1"/>
    <xf numFmtId="0" fontId="70" fillId="0" borderId="0" xfId="1" applyFont="1"/>
    <xf numFmtId="0" fontId="143" fillId="0" borderId="0" xfId="0" applyFont="1"/>
    <xf numFmtId="0" fontId="144" fillId="0" borderId="0" xfId="0" applyFont="1"/>
    <xf numFmtId="0" fontId="141" fillId="0" borderId="0" xfId="0" applyFont="1" applyBorder="1" applyAlignment="1">
      <alignment horizontal="left"/>
    </xf>
    <xf numFmtId="0" fontId="70" fillId="0" borderId="0" xfId="0" applyFont="1" applyFill="1" applyBorder="1" applyAlignment="1"/>
    <xf numFmtId="0" fontId="70" fillId="0" borderId="0" xfId="0" applyFont="1" applyBorder="1" applyAlignment="1">
      <alignment horizontal="left"/>
    </xf>
    <xf numFmtId="0" fontId="70" fillId="0" borderId="0" xfId="0" quotePrefix="1" applyFont="1" applyBorder="1" applyAlignment="1">
      <alignment horizontal="left"/>
    </xf>
    <xf numFmtId="8" fontId="55" fillId="0" borderId="0" xfId="0" applyNumberFormat="1" applyFont="1"/>
    <xf numFmtId="8" fontId="145" fillId="0" borderId="0" xfId="0" applyNumberFormat="1" applyFont="1"/>
    <xf numFmtId="2" fontId="18" fillId="0" borderId="0" xfId="0" applyNumberFormat="1" applyFont="1"/>
    <xf numFmtId="0" fontId="65" fillId="0" borderId="0" xfId="0" applyFont="1" applyAlignment="1">
      <alignment horizontal="left" indent="1"/>
    </xf>
    <xf numFmtId="0" fontId="56" fillId="0" borderId="0" xfId="0" applyFont="1" applyAlignment="1">
      <alignment horizontal="left" indent="1"/>
    </xf>
    <xf numFmtId="196" fontId="20" fillId="0" borderId="0" xfId="0" applyNumberFormat="1" applyFont="1"/>
    <xf numFmtId="165" fontId="20" fillId="0" borderId="0" xfId="0" applyNumberFormat="1" applyFont="1"/>
    <xf numFmtId="197" fontId="65" fillId="0" borderId="0" xfId="1" applyNumberFormat="1" applyFont="1"/>
    <xf numFmtId="197" fontId="20" fillId="0" borderId="0" xfId="0" applyNumberFormat="1" applyFont="1"/>
    <xf numFmtId="4" fontId="20" fillId="0" borderId="0" xfId="0" applyNumberFormat="1" applyFont="1"/>
    <xf numFmtId="197" fontId="20" fillId="0" borderId="0" xfId="0" applyNumberFormat="1" applyFont="1" applyAlignment="1"/>
    <xf numFmtId="4" fontId="65" fillId="0" borderId="0" xfId="0" applyNumberFormat="1" applyFont="1"/>
    <xf numFmtId="197" fontId="65" fillId="0" borderId="0" xfId="0" applyNumberFormat="1" applyFont="1"/>
    <xf numFmtId="198" fontId="20" fillId="0" borderId="0" xfId="0" applyNumberFormat="1" applyFont="1" applyAlignment="1">
      <alignment horizontal="right"/>
    </xf>
    <xf numFmtId="198" fontId="58" fillId="0" borderId="0" xfId="1" applyNumberFormat="1" applyFont="1"/>
    <xf numFmtId="3" fontId="20" fillId="0" borderId="0" xfId="3" applyNumberFormat="1" applyFont="1" applyAlignment="1">
      <alignment horizontal="right"/>
    </xf>
    <xf numFmtId="0" fontId="0" fillId="0" borderId="19" xfId="0" applyBorder="1"/>
    <xf numFmtId="0" fontId="0" fillId="0" borderId="19" xfId="0" applyBorder="1" applyAlignment="1">
      <alignment horizontal="right"/>
    </xf>
    <xf numFmtId="0" fontId="1" fillId="0" borderId="19" xfId="1" applyBorder="1"/>
    <xf numFmtId="0" fontId="20" fillId="0" borderId="19" xfId="0" applyFont="1" applyBorder="1" applyAlignment="1">
      <alignment horizontal="right"/>
    </xf>
    <xf numFmtId="179" fontId="20" fillId="0" borderId="0" xfId="0" applyNumberFormat="1" applyFont="1"/>
    <xf numFmtId="9" fontId="28" fillId="0" borderId="0" xfId="0" applyNumberFormat="1" applyFont="1"/>
    <xf numFmtId="0" fontId="28" fillId="0" borderId="0" xfId="0" applyNumberFormat="1" applyFont="1"/>
    <xf numFmtId="0" fontId="28" fillId="0" borderId="0" xfId="0" applyFont="1" applyAlignment="1">
      <alignment horizontal="right"/>
    </xf>
    <xf numFmtId="164" fontId="0" fillId="0" borderId="0" xfId="4" applyNumberFormat="1" applyFont="1"/>
    <xf numFmtId="0" fontId="0" fillId="0" borderId="1" xfId="0" applyFont="1" applyFill="1" applyBorder="1"/>
    <xf numFmtId="0" fontId="0" fillId="0" borderId="0" xfId="4" applyNumberFormat="1" applyFont="1"/>
    <xf numFmtId="164" fontId="0" fillId="0" borderId="0" xfId="0" applyNumberFormat="1" applyFont="1" applyAlignment="1">
      <alignment horizontal="center"/>
    </xf>
    <xf numFmtId="164" fontId="0" fillId="0" borderId="0" xfId="0" applyNumberFormat="1" applyAlignment="1">
      <alignment horizontal="center"/>
    </xf>
    <xf numFmtId="0" fontId="1" fillId="0" borderId="20" xfId="1" applyBorder="1"/>
    <xf numFmtId="0" fontId="121" fillId="0" borderId="19" xfId="0" applyFont="1" applyBorder="1" applyAlignment="1">
      <alignment horizontal="left"/>
    </xf>
    <xf numFmtId="0" fontId="20" fillId="0" borderId="21" xfId="0" applyFont="1" applyBorder="1" applyAlignment="1">
      <alignment horizontal="right"/>
    </xf>
    <xf numFmtId="0" fontId="146" fillId="0" borderId="0" xfId="0" applyFont="1" applyAlignment="1">
      <alignment vertical="center"/>
    </xf>
    <xf numFmtId="0" fontId="147" fillId="0" borderId="0" xfId="0" applyFont="1"/>
    <xf numFmtId="196" fontId="0" fillId="0" borderId="0" xfId="0" applyNumberFormat="1"/>
    <xf numFmtId="3" fontId="147" fillId="0" borderId="0" xfId="0" applyNumberFormat="1" applyFont="1"/>
    <xf numFmtId="164" fontId="147" fillId="0" borderId="0" xfId="0" applyNumberFormat="1" applyFont="1"/>
    <xf numFmtId="38" fontId="147" fillId="0" borderId="0" xfId="0" applyNumberFormat="1" applyFont="1"/>
    <xf numFmtId="10" fontId="28" fillId="0" borderId="0" xfId="0" applyNumberFormat="1" applyFont="1"/>
    <xf numFmtId="164" fontId="28" fillId="0" borderId="1" xfId="4" applyNumberFormat="1" applyFont="1" applyBorder="1"/>
    <xf numFmtId="0" fontId="0" fillId="0" borderId="20" xfId="0" applyFont="1" applyBorder="1"/>
    <xf numFmtId="0" fontId="0" fillId="0" borderId="21" xfId="0" applyBorder="1" applyAlignment="1">
      <alignment horizontal="right"/>
    </xf>
    <xf numFmtId="10" fontId="17" fillId="0" borderId="1" xfId="0" applyNumberFormat="1" applyFont="1" applyBorder="1"/>
    <xf numFmtId="10" fontId="17" fillId="0" borderId="0" xfId="0" applyNumberFormat="1" applyFont="1"/>
    <xf numFmtId="0" fontId="65" fillId="0" borderId="0" xfId="0" applyFont="1" applyBorder="1" applyAlignment="1">
      <alignment horizontal="left" wrapText="1"/>
    </xf>
    <xf numFmtId="0" fontId="65" fillId="0" borderId="0" xfId="0" applyFont="1" applyBorder="1" applyAlignment="1">
      <alignment horizontal="left"/>
    </xf>
    <xf numFmtId="164" fontId="0" fillId="0" borderId="0" xfId="4" applyNumberFormat="1" applyFont="1" applyAlignment="1">
      <alignment horizontal="right"/>
    </xf>
    <xf numFmtId="164" fontId="0" fillId="0" borderId="0" xfId="0" applyNumberFormat="1" applyFont="1" applyBorder="1" applyAlignment="1">
      <alignment horizontal="right"/>
    </xf>
    <xf numFmtId="0" fontId="20" fillId="0" borderId="0" xfId="0" applyFont="1" applyBorder="1" applyAlignment="1">
      <alignment horizontal="right" wrapText="1"/>
    </xf>
    <xf numFmtId="3" fontId="149" fillId="0" borderId="0" xfId="0" applyNumberFormat="1" applyFont="1"/>
    <xf numFmtId="3" fontId="84" fillId="0" borderId="0" xfId="0" applyNumberFormat="1" applyFont="1"/>
    <xf numFmtId="185" fontId="150" fillId="0" borderId="0" xfId="0" applyNumberFormat="1" applyFont="1"/>
    <xf numFmtId="0" fontId="56" fillId="0" borderId="0" xfId="0" applyFont="1" applyAlignment="1">
      <alignment horizontal="left"/>
    </xf>
    <xf numFmtId="0" fontId="151" fillId="0" borderId="0" xfId="0" applyFont="1"/>
    <xf numFmtId="3" fontId="0" fillId="0" borderId="0" xfId="0" quotePrefix="1" applyNumberFormat="1"/>
    <xf numFmtId="3" fontId="32" fillId="0" borderId="20" xfId="0" applyNumberFormat="1" applyFont="1" applyBorder="1"/>
    <xf numFmtId="0" fontId="32" fillId="0" borderId="21" xfId="0" applyFont="1" applyBorder="1"/>
    <xf numFmtId="0" fontId="152" fillId="0" borderId="0" xfId="0" applyFont="1"/>
    <xf numFmtId="0" fontId="153" fillId="0" borderId="0" xfId="0" applyFont="1"/>
    <xf numFmtId="0" fontId="153" fillId="0" borderId="0" xfId="0" applyFont="1" applyAlignment="1">
      <alignment horizontal="left"/>
    </xf>
    <xf numFmtId="0" fontId="65" fillId="0" borderId="0" xfId="0" applyFont="1" applyFill="1"/>
    <xf numFmtId="166" fontId="65" fillId="0" borderId="0" xfId="0" applyNumberFormat="1" applyFont="1" applyFill="1" applyAlignment="1">
      <alignment horizontal="left"/>
    </xf>
    <xf numFmtId="0" fontId="17" fillId="0" borderId="0" xfId="0" applyFont="1" applyBorder="1" applyAlignment="1">
      <alignment horizontal="right" wrapText="1"/>
    </xf>
    <xf numFmtId="164" fontId="0" fillId="0" borderId="0" xfId="0" applyNumberFormat="1" applyFont="1" applyBorder="1" applyAlignment="1">
      <alignment horizontal="right" wrapText="1"/>
    </xf>
    <xf numFmtId="10" fontId="20" fillId="0" borderId="0" xfId="4" applyNumberFormat="1" applyFont="1" applyAlignment="1">
      <alignment horizontal="right"/>
    </xf>
    <xf numFmtId="10" fontId="20" fillId="0" borderId="0" xfId="0" applyNumberFormat="1" applyFont="1" applyAlignment="1">
      <alignment horizontal="right"/>
    </xf>
    <xf numFmtId="0" fontId="58" fillId="0" borderId="0" xfId="1" applyFont="1" applyAlignment="1">
      <alignment horizontal="left" indent="1"/>
    </xf>
    <xf numFmtId="164" fontId="20" fillId="0" borderId="0" xfId="0" applyNumberFormat="1" applyFont="1" applyAlignment="1">
      <alignment horizontal="left" indent="1"/>
    </xf>
    <xf numFmtId="0" fontId="154" fillId="0" borderId="0" xfId="0" applyFont="1" applyAlignment="1">
      <alignment horizontal="left" indent="1"/>
    </xf>
    <xf numFmtId="166" fontId="49" fillId="0" borderId="0" xfId="0" applyNumberFormat="1" applyFont="1" applyAlignment="1">
      <alignment horizontal="left"/>
    </xf>
    <xf numFmtId="185" fontId="0" fillId="0" borderId="0" xfId="0" applyNumberFormat="1" applyFont="1" applyBorder="1"/>
    <xf numFmtId="187" fontId="0" fillId="0" borderId="1" xfId="0" applyNumberFormat="1" applyBorder="1"/>
    <xf numFmtId="40" fontId="0" fillId="0" borderId="1" xfId="0" applyNumberFormat="1" applyBorder="1"/>
    <xf numFmtId="0" fontId="15" fillId="0" borderId="0" xfId="0" applyFont="1" applyBorder="1"/>
    <xf numFmtId="0" fontId="12" fillId="0" borderId="0" xfId="0" applyFont="1" applyBorder="1"/>
    <xf numFmtId="187" fontId="0" fillId="0" borderId="0" xfId="0" applyNumberFormat="1" applyBorder="1"/>
    <xf numFmtId="40" fontId="0" fillId="0" borderId="0" xfId="0" applyNumberFormat="1" applyBorder="1"/>
    <xf numFmtId="0" fontId="28" fillId="0" borderId="0" xfId="0" applyFont="1" applyBorder="1"/>
    <xf numFmtId="166" fontId="32" fillId="0" borderId="20" xfId="0" applyNumberFormat="1" applyFont="1" applyBorder="1" applyAlignment="1">
      <alignment horizontal="left"/>
    </xf>
    <xf numFmtId="0" fontId="20" fillId="0" borderId="19" xfId="0" applyFont="1" applyBorder="1"/>
    <xf numFmtId="0" fontId="0" fillId="0" borderId="19" xfId="0" applyFont="1" applyBorder="1"/>
    <xf numFmtId="0" fontId="0" fillId="0" borderId="21" xfId="0" applyFont="1" applyBorder="1"/>
    <xf numFmtId="0" fontId="32" fillId="0" borderId="19" xfId="0" applyFont="1" applyBorder="1"/>
    <xf numFmtId="0" fontId="121" fillId="0" borderId="20" xfId="0" applyFont="1" applyBorder="1"/>
    <xf numFmtId="0" fontId="121" fillId="0" borderId="19" xfId="0" applyFont="1" applyBorder="1"/>
    <xf numFmtId="0" fontId="121" fillId="0" borderId="21" xfId="0" applyFont="1" applyBorder="1"/>
    <xf numFmtId="185" fontId="32" fillId="0" borderId="19" xfId="0" applyNumberFormat="1" applyFont="1" applyBorder="1"/>
    <xf numFmtId="3" fontId="28" fillId="0" borderId="0" xfId="2" applyNumberFormat="1" applyFont="1"/>
    <xf numFmtId="1" fontId="28" fillId="0" borderId="0" xfId="0" applyNumberFormat="1" applyFont="1" applyAlignment="1">
      <alignment horizontal="right"/>
    </xf>
    <xf numFmtId="2" fontId="28" fillId="0" borderId="0" xfId="0" applyNumberFormat="1" applyFont="1" applyAlignment="1">
      <alignment horizontal="right"/>
    </xf>
    <xf numFmtId="1" fontId="0" fillId="0" borderId="0" xfId="0" applyNumberFormat="1" applyFont="1" applyAlignment="1">
      <alignment horizontal="left"/>
    </xf>
    <xf numFmtId="182" fontId="17" fillId="0" borderId="0" xfId="0" applyNumberFormat="1" applyFont="1" applyAlignment="1"/>
    <xf numFmtId="182" fontId="17" fillId="0" borderId="0" xfId="0" applyNumberFormat="1" applyFont="1" applyBorder="1" applyAlignment="1">
      <alignment wrapText="1"/>
    </xf>
    <xf numFmtId="164" fontId="0" fillId="0" borderId="0" xfId="0" applyNumberFormat="1" applyFont="1" applyFill="1" applyBorder="1" applyAlignment="1">
      <alignment horizontal="right" wrapText="1"/>
    </xf>
    <xf numFmtId="164" fontId="15" fillId="0" borderId="0" xfId="0" applyNumberFormat="1" applyFont="1"/>
    <xf numFmtId="166" fontId="0" fillId="0" borderId="0" xfId="0" applyNumberFormat="1" applyFont="1" applyAlignment="1">
      <alignment horizontal="left"/>
    </xf>
    <xf numFmtId="166" fontId="17" fillId="0" borderId="0" xfId="0" applyNumberFormat="1" applyFont="1" applyBorder="1" applyAlignment="1">
      <alignment horizontal="right" wrapText="1"/>
    </xf>
    <xf numFmtId="10" fontId="0" fillId="0" borderId="0" xfId="4" quotePrefix="1" applyNumberFormat="1" applyFont="1"/>
    <xf numFmtId="3" fontId="32" fillId="0" borderId="1" xfId="0" applyNumberFormat="1" applyFont="1" applyBorder="1"/>
    <xf numFmtId="0" fontId="32" fillId="0" borderId="1" xfId="0" applyFont="1" applyBorder="1"/>
    <xf numFmtId="10" fontId="28" fillId="0" borderId="0" xfId="4" quotePrefix="1" applyNumberFormat="1" applyFont="1"/>
    <xf numFmtId="0" fontId="23" fillId="3" borderId="0" xfId="0" applyFont="1" applyFill="1" applyAlignment="1">
      <alignment horizontal="right"/>
    </xf>
    <xf numFmtId="44" fontId="23" fillId="3" borderId="0" xfId="2" applyNumberFormat="1" applyFont="1" applyFill="1" applyAlignment="1">
      <alignment horizontal="right"/>
    </xf>
    <xf numFmtId="164" fontId="23" fillId="3" borderId="0" xfId="0" applyNumberFormat="1" applyFont="1" applyFill="1" applyAlignment="1">
      <alignment horizontal="right"/>
    </xf>
    <xf numFmtId="164" fontId="23" fillId="3" borderId="0" xfId="0" applyNumberFormat="1" applyFont="1" applyFill="1" applyBorder="1" applyAlignment="1">
      <alignment horizontal="right"/>
    </xf>
    <xf numFmtId="38" fontId="155" fillId="0" borderId="0" xfId="0" applyNumberFormat="1" applyFont="1"/>
    <xf numFmtId="188" fontId="15" fillId="0" borderId="0" xfId="0" applyNumberFormat="1" applyFont="1"/>
    <xf numFmtId="0" fontId="156" fillId="0" borderId="0" xfId="0" applyFont="1"/>
    <xf numFmtId="0" fontId="27" fillId="0" borderId="1" xfId="0" applyFont="1" applyBorder="1" applyAlignment="1">
      <alignment horizontal="center" wrapText="1"/>
    </xf>
    <xf numFmtId="166" fontId="0" fillId="0" borderId="0" xfId="0" applyNumberFormat="1" applyAlignment="1">
      <alignment horizontal="left" indent="1"/>
    </xf>
    <xf numFmtId="181" fontId="0" fillId="0" borderId="0" xfId="2" applyNumberFormat="1" applyFont="1" applyAlignment="1">
      <alignment horizontal="right"/>
    </xf>
    <xf numFmtId="174" fontId="32" fillId="0" borderId="0" xfId="0" applyNumberFormat="1" applyFont="1"/>
    <xf numFmtId="3" fontId="30" fillId="0" borderId="0" xfId="0" applyNumberFormat="1" applyFont="1"/>
    <xf numFmtId="0" fontId="0" fillId="0" borderId="0" xfId="0" applyFont="1" applyFill="1" applyBorder="1" applyAlignment="1"/>
    <xf numFmtId="0" fontId="17" fillId="0" borderId="0" xfId="0" applyFont="1" applyFill="1"/>
    <xf numFmtId="3" fontId="0" fillId="0" borderId="0" xfId="0" applyNumberFormat="1" applyBorder="1" applyAlignment="1">
      <alignment horizontal="right"/>
    </xf>
    <xf numFmtId="0" fontId="0" fillId="0" borderId="0" xfId="0" applyFont="1" applyBorder="1" applyAlignment="1">
      <alignment horizontal="left" wrapText="1"/>
    </xf>
    <xf numFmtId="0" fontId="20" fillId="0" borderId="1" xfId="0" applyFont="1" applyBorder="1"/>
    <xf numFmtId="0" fontId="154" fillId="0" borderId="0" xfId="0" applyFont="1"/>
    <xf numFmtId="0" fontId="62" fillId="0" borderId="0" xfId="0" applyFont="1" applyBorder="1" applyAlignment="1">
      <alignment horizontal="center" wrapText="1"/>
    </xf>
    <xf numFmtId="184" fontId="62" fillId="0" borderId="0" xfId="2" applyNumberFormat="1" applyFont="1"/>
    <xf numFmtId="11" fontId="20" fillId="0" borderId="0" xfId="0" applyNumberFormat="1" applyFont="1"/>
    <xf numFmtId="0" fontId="0" fillId="0" borderId="0" xfId="0" applyFont="1" applyBorder="1" applyAlignment="1"/>
    <xf numFmtId="0" fontId="158" fillId="0" borderId="0" xfId="0" applyFont="1"/>
    <xf numFmtId="164" fontId="15" fillId="0" borderId="0" xfId="0" applyNumberFormat="1" applyFont="1" applyAlignment="1">
      <alignment horizontal="right"/>
    </xf>
    <xf numFmtId="0" fontId="159" fillId="0" borderId="0" xfId="0" applyFont="1" applyFill="1"/>
    <xf numFmtId="0" fontId="24" fillId="5" borderId="0" xfId="0" applyFont="1" applyFill="1"/>
    <xf numFmtId="0" fontId="161" fillId="0" borderId="0" xfId="0" applyFont="1"/>
    <xf numFmtId="0" fontId="162" fillId="0" borderId="0" xfId="1" applyFont="1"/>
    <xf numFmtId="44" fontId="2" fillId="0" borderId="0" xfId="2" applyNumberFormat="1" applyFont="1" applyBorder="1" applyAlignment="1"/>
    <xf numFmtId="176" fontId="60" fillId="0" borderId="0" xfId="2" applyNumberFormat="1" applyFont="1"/>
    <xf numFmtId="3" fontId="0" fillId="0" borderId="0" xfId="0" applyNumberFormat="1" applyFont="1" applyBorder="1" applyAlignment="1">
      <alignment horizontal="right" wrapText="1"/>
    </xf>
    <xf numFmtId="164" fontId="15" fillId="0" borderId="0" xfId="0" applyNumberFormat="1" applyFont="1" applyAlignment="1"/>
    <xf numFmtId="3" fontId="17" fillId="0" borderId="0" xfId="0" applyNumberFormat="1" applyFont="1" applyBorder="1" applyAlignment="1">
      <alignment horizontal="right" wrapText="1"/>
    </xf>
    <xf numFmtId="3" fontId="30" fillId="0" borderId="0" xfId="0" applyNumberFormat="1" applyFont="1" applyBorder="1" applyAlignment="1">
      <alignment horizontal="right" wrapText="1"/>
    </xf>
    <xf numFmtId="3" fontId="15" fillId="0" borderId="0" xfId="0" applyNumberFormat="1" applyFont="1"/>
    <xf numFmtId="0" fontId="79" fillId="0" borderId="0" xfId="0" applyFont="1"/>
    <xf numFmtId="185" fontId="17" fillId="0" borderId="0" xfId="0" applyNumberFormat="1" applyFont="1" applyBorder="1" applyAlignment="1"/>
    <xf numFmtId="164" fontId="0" fillId="0" borderId="0" xfId="0" applyNumberFormat="1" applyAlignment="1"/>
    <xf numFmtId="0" fontId="154" fillId="0" borderId="0" xfId="0" applyFont="1" applyAlignment="1">
      <alignment horizontal="left"/>
    </xf>
    <xf numFmtId="182" fontId="17" fillId="0" borderId="0" xfId="0" applyNumberFormat="1" applyFont="1" applyBorder="1" applyAlignment="1"/>
    <xf numFmtId="185" fontId="65" fillId="0" borderId="0" xfId="0" applyNumberFormat="1" applyFont="1" applyBorder="1" applyAlignment="1"/>
    <xf numFmtId="185" fontId="65" fillId="0" borderId="0" xfId="0" applyNumberFormat="1" applyFont="1" applyBorder="1" applyAlignment="1">
      <alignment horizontal="left" indent="1"/>
    </xf>
    <xf numFmtId="1" fontId="147" fillId="0" borderId="0" xfId="0" applyNumberFormat="1" applyFont="1"/>
    <xf numFmtId="3" fontId="17" fillId="0" borderId="0" xfId="0" applyNumberFormat="1" applyFont="1" applyBorder="1" applyAlignment="1">
      <alignment wrapText="1"/>
    </xf>
    <xf numFmtId="3" fontId="17" fillId="0" borderId="0" xfId="0" applyNumberFormat="1" applyFont="1" applyBorder="1" applyAlignment="1"/>
    <xf numFmtId="0" fontId="50" fillId="0" borderId="0" xfId="0" applyFont="1"/>
    <xf numFmtId="0" fontId="163" fillId="0" borderId="0" xfId="1" applyFont="1"/>
    <xf numFmtId="182" fontId="0" fillId="0" borderId="0" xfId="0" applyNumberFormat="1" applyAlignment="1"/>
    <xf numFmtId="199" fontId="0" fillId="0" borderId="0" xfId="0" applyNumberFormat="1"/>
    <xf numFmtId="199" fontId="44" fillId="0" borderId="0" xfId="0" applyNumberFormat="1" applyFont="1"/>
    <xf numFmtId="199" fontId="44" fillId="0" borderId="0" xfId="0" applyNumberFormat="1" applyFont="1" applyBorder="1"/>
    <xf numFmtId="199" fontId="0" fillId="0" borderId="0" xfId="0" applyNumberFormat="1" applyBorder="1"/>
    <xf numFmtId="3" fontId="44" fillId="0" borderId="0" xfId="0" applyNumberFormat="1" applyFont="1"/>
    <xf numFmtId="0" fontId="164" fillId="0" borderId="0" xfId="0" applyFont="1"/>
    <xf numFmtId="0" fontId="1" fillId="0" borderId="0" xfId="1" applyFill="1" applyBorder="1"/>
    <xf numFmtId="44" fontId="0" fillId="0" borderId="0" xfId="0" applyNumberFormat="1" applyAlignment="1">
      <alignment horizontal="left"/>
    </xf>
    <xf numFmtId="0" fontId="41" fillId="0" borderId="0" xfId="0" applyFont="1"/>
    <xf numFmtId="0" fontId="87" fillId="0" borderId="0" xfId="0" applyFont="1"/>
    <xf numFmtId="0" fontId="20" fillId="2" borderId="0" xfId="0" applyFont="1" applyFill="1"/>
    <xf numFmtId="0" fontId="126" fillId="2" borderId="0" xfId="0" applyFont="1" applyFill="1"/>
    <xf numFmtId="0" fontId="0" fillId="2" borderId="0" xfId="0" applyFont="1" applyFill="1"/>
    <xf numFmtId="0" fontId="1" fillId="2" borderId="0" xfId="1" applyFill="1"/>
    <xf numFmtId="0" fontId="20" fillId="2" borderId="0" xfId="0" applyFont="1" applyFill="1" applyAlignment="1">
      <alignment horizontal="right"/>
    </xf>
    <xf numFmtId="0" fontId="20" fillId="0" borderId="0" xfId="0" applyFont="1" applyFill="1"/>
    <xf numFmtId="0" fontId="126" fillId="0" borderId="0" xfId="0" applyFont="1" applyFill="1"/>
    <xf numFmtId="3" fontId="0" fillId="0" borderId="0" xfId="0" applyNumberFormat="1" applyFont="1" applyFill="1"/>
    <xf numFmtId="0" fontId="0" fillId="0" borderId="1" xfId="0" applyFont="1" applyFill="1" applyBorder="1" applyAlignment="1">
      <alignment horizontal="center"/>
    </xf>
    <xf numFmtId="10" fontId="0" fillId="0" borderId="0" xfId="4" applyNumberFormat="1" applyFont="1" applyFill="1"/>
    <xf numFmtId="0" fontId="165" fillId="0" borderId="0" xfId="0" applyFont="1" applyFill="1"/>
    <xf numFmtId="3" fontId="165" fillId="0" borderId="0" xfId="0" applyNumberFormat="1" applyFont="1" applyFill="1"/>
    <xf numFmtId="0" fontId="166" fillId="0" borderId="0" xfId="0" applyFont="1"/>
    <xf numFmtId="3" fontId="60" fillId="0" borderId="0" xfId="0" applyNumberFormat="1" applyFont="1"/>
    <xf numFmtId="0" fontId="167" fillId="0" borderId="0" xfId="0" applyFont="1"/>
    <xf numFmtId="0" fontId="167" fillId="0" borderId="0" xfId="0" applyFont="1" applyFill="1"/>
    <xf numFmtId="164" fontId="0" fillId="0" borderId="0" xfId="0" applyNumberFormat="1" applyFill="1"/>
    <xf numFmtId="0" fontId="168" fillId="0" borderId="0" xfId="0" applyFont="1" applyAlignment="1">
      <alignment vertical="center"/>
    </xf>
    <xf numFmtId="185" fontId="23" fillId="0" borderId="0" xfId="0" applyNumberFormat="1" applyFont="1"/>
    <xf numFmtId="0" fontId="55" fillId="0" borderId="0" xfId="0" applyFont="1" applyAlignment="1">
      <alignment horizontal="left"/>
    </xf>
    <xf numFmtId="0" fontId="91" fillId="0" borderId="0" xfId="0" applyFont="1"/>
    <xf numFmtId="2" fontId="0" fillId="0" borderId="0" xfId="0" applyNumberFormat="1" applyAlignment="1"/>
    <xf numFmtId="2" fontId="20" fillId="0" borderId="1" xfId="0" applyNumberFormat="1" applyFont="1" applyBorder="1" applyAlignment="1">
      <alignment horizontal="center"/>
    </xf>
    <xf numFmtId="164" fontId="0" fillId="0" borderId="0" xfId="0" applyNumberFormat="1" applyFont="1" applyFill="1" applyBorder="1" applyAlignment="1"/>
    <xf numFmtId="164" fontId="0" fillId="0" borderId="0" xfId="0" applyNumberFormat="1" applyFont="1" applyAlignment="1"/>
    <xf numFmtId="0" fontId="3" fillId="0" borderId="0" xfId="0" applyFont="1" applyAlignment="1">
      <alignment horizontal="left"/>
    </xf>
    <xf numFmtId="0" fontId="169" fillId="0" borderId="0" xfId="0" applyFont="1"/>
    <xf numFmtId="44" fontId="60" fillId="0" borderId="0" xfId="2" applyNumberFormat="1" applyFont="1" applyBorder="1" applyAlignment="1"/>
    <xf numFmtId="0" fontId="60" fillId="0" borderId="0" xfId="0" applyFont="1" applyFill="1"/>
    <xf numFmtId="2" fontId="30" fillId="0" borderId="0" xfId="0" applyNumberFormat="1" applyFont="1"/>
    <xf numFmtId="0" fontId="0" fillId="3" borderId="0" xfId="0" applyFill="1" applyAlignment="1">
      <alignment horizontal="right"/>
    </xf>
    <xf numFmtId="44" fontId="60" fillId="0" borderId="0" xfId="2" applyNumberFormat="1" applyFont="1"/>
    <xf numFmtId="199" fontId="170" fillId="0" borderId="0" xfId="0" applyNumberFormat="1" applyFont="1"/>
    <xf numFmtId="3" fontId="170" fillId="0" borderId="0" xfId="0" applyNumberFormat="1" applyFont="1"/>
    <xf numFmtId="0" fontId="0" fillId="0" borderId="8" xfId="0" applyBorder="1" applyAlignment="1">
      <alignment horizontal="center"/>
    </xf>
    <xf numFmtId="188" fontId="0" fillId="0" borderId="7" xfId="0" applyNumberFormat="1" applyBorder="1"/>
    <xf numFmtId="188" fontId="57" fillId="0" borderId="7" xfId="0" applyNumberFormat="1" applyFont="1" applyBorder="1"/>
    <xf numFmtId="187" fontId="0" fillId="0" borderId="7" xfId="0" applyNumberFormat="1" applyBorder="1"/>
    <xf numFmtId="44" fontId="0" fillId="0" borderId="7" xfId="2" applyFont="1" applyBorder="1"/>
    <xf numFmtId="189" fontId="0" fillId="0" borderId="7" xfId="0" applyNumberFormat="1" applyBorder="1"/>
    <xf numFmtId="40" fontId="0" fillId="0" borderId="7" xfId="0" applyNumberFormat="1" applyBorder="1"/>
    <xf numFmtId="1" fontId="0" fillId="0" borderId="7" xfId="0" applyNumberFormat="1" applyBorder="1"/>
    <xf numFmtId="9" fontId="0" fillId="0" borderId="0" xfId="4" applyFont="1" applyFill="1"/>
    <xf numFmtId="0" fontId="33" fillId="0" borderId="0" xfId="0" applyFont="1" applyFill="1"/>
    <xf numFmtId="165" fontId="173" fillId="0" borderId="0" xfId="0" applyNumberFormat="1" applyFont="1"/>
    <xf numFmtId="4" fontId="29" fillId="0" borderId="0" xfId="0" applyNumberFormat="1" applyFont="1" applyFill="1"/>
    <xf numFmtId="0" fontId="29" fillId="0" borderId="0" xfId="0" applyFont="1" applyFill="1"/>
    <xf numFmtId="3" fontId="29" fillId="0" borderId="0" xfId="0" applyNumberFormat="1" applyFont="1" applyFill="1"/>
    <xf numFmtId="0" fontId="33" fillId="0" borderId="0" xfId="0" applyFont="1" applyFill="1" applyAlignment="1">
      <alignment horizontal="center"/>
    </xf>
    <xf numFmtId="0" fontId="33" fillId="0" borderId="1" xfId="0" applyFont="1" applyFill="1" applyBorder="1" applyAlignment="1">
      <alignment horizontal="center"/>
    </xf>
    <xf numFmtId="0" fontId="33" fillId="0" borderId="0" xfId="0" applyFont="1" applyFill="1" applyBorder="1" applyAlignment="1">
      <alignment horizontal="center"/>
    </xf>
    <xf numFmtId="166" fontId="29" fillId="0" borderId="0" xfId="0" applyNumberFormat="1" applyFont="1" applyFill="1"/>
    <xf numFmtId="37" fontId="0" fillId="0" borderId="0" xfId="3" applyNumberFormat="1" applyFont="1" applyFill="1" applyAlignment="1"/>
    <xf numFmtId="166" fontId="15" fillId="0" borderId="0" xfId="0" applyNumberFormat="1" applyFont="1"/>
    <xf numFmtId="0" fontId="174" fillId="0" borderId="0" xfId="0" applyFont="1" applyAlignment="1">
      <alignment vertical="center"/>
    </xf>
    <xf numFmtId="2" fontId="0" fillId="0" borderId="0" xfId="0" applyNumberFormat="1" applyBorder="1"/>
    <xf numFmtId="0" fontId="51" fillId="0" borderId="0" xfId="0" applyFont="1" applyAlignment="1">
      <alignment horizontal="center"/>
    </xf>
    <xf numFmtId="11" fontId="51" fillId="0" borderId="0" xfId="0" applyNumberFormat="1" applyFont="1"/>
    <xf numFmtId="0" fontId="51" fillId="0" borderId="0" xfId="0" applyFont="1" applyBorder="1"/>
    <xf numFmtId="11" fontId="51" fillId="0" borderId="0" xfId="0" applyNumberFormat="1" applyFont="1" applyBorder="1"/>
    <xf numFmtId="0" fontId="84" fillId="0" borderId="0" xfId="0" applyFont="1" applyBorder="1"/>
    <xf numFmtId="167" fontId="84" fillId="0" borderId="0" xfId="3" applyNumberFormat="1" applyFont="1"/>
    <xf numFmtId="11" fontId="84" fillId="0" borderId="0" xfId="3" applyNumberFormat="1" applyFont="1"/>
    <xf numFmtId="3" fontId="84" fillId="0" borderId="0" xfId="3" applyNumberFormat="1" applyFont="1"/>
    <xf numFmtId="169" fontId="84" fillId="0" borderId="0" xfId="3" applyNumberFormat="1" applyFont="1"/>
    <xf numFmtId="2" fontId="44" fillId="0" borderId="0" xfId="3" applyNumberFormat="1" applyFont="1"/>
    <xf numFmtId="0" fontId="175" fillId="0" borderId="0" xfId="0" applyFont="1"/>
    <xf numFmtId="0" fontId="175" fillId="0" borderId="0" xfId="0" applyFont="1" applyBorder="1"/>
    <xf numFmtId="0" fontId="29" fillId="0" borderId="0" xfId="0" applyFont="1" applyBorder="1"/>
    <xf numFmtId="4" fontId="175" fillId="0" borderId="0" xfId="3" applyNumberFormat="1" applyFont="1"/>
    <xf numFmtId="9" fontId="0" fillId="0" borderId="0" xfId="4" applyFont="1" applyBorder="1"/>
    <xf numFmtId="166" fontId="29" fillId="0" borderId="0" xfId="0" applyNumberFormat="1" applyFont="1"/>
    <xf numFmtId="0" fontId="83" fillId="3" borderId="0" xfId="0" applyFont="1" applyFill="1"/>
    <xf numFmtId="0" fontId="83" fillId="0" borderId="0" xfId="0" applyFont="1" applyFill="1"/>
    <xf numFmtId="0" fontId="88" fillId="0" borderId="0" xfId="0" applyFont="1" applyAlignment="1">
      <alignment horizontal="left"/>
    </xf>
    <xf numFmtId="0" fontId="74" fillId="3" borderId="0" xfId="0" applyFont="1" applyFill="1"/>
    <xf numFmtId="0" fontId="176" fillId="0" borderId="0" xfId="0" applyFont="1"/>
  </cellXfs>
  <cellStyles count="5">
    <cellStyle name="Comma" xfId="3" builtinId="3"/>
    <cellStyle name="Currency" xfId="2" builtinId="4"/>
    <cellStyle name="Hyperlink" xfId="1" builtinId="8"/>
    <cellStyle name="Normal" xfId="0" builtinId="0"/>
    <cellStyle name="Percent" xfId="4"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32.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27</xdr:col>
      <xdr:colOff>76200</xdr:colOff>
      <xdr:row>50</xdr:row>
      <xdr:rowOff>31750</xdr:rowOff>
    </xdr:from>
    <xdr:to>
      <xdr:col>40</xdr:col>
      <xdr:colOff>442462</xdr:colOff>
      <xdr:row>65</xdr:row>
      <xdr:rowOff>149524</xdr:rowOff>
    </xdr:to>
    <xdr:pic>
      <xdr:nvPicPr>
        <xdr:cNvPr id="3" name="Picture 2"/>
        <xdr:cNvPicPr>
          <a:picLocks noChangeAspect="1"/>
        </xdr:cNvPicPr>
      </xdr:nvPicPr>
      <xdr:blipFill>
        <a:blip xmlns:r="http://schemas.openxmlformats.org/officeDocument/2006/relationships" r:embed="rId1"/>
        <a:stretch>
          <a:fillRect/>
        </a:stretch>
      </xdr:blipFill>
      <xdr:spPr>
        <a:xfrm>
          <a:off x="16840200" y="2609850"/>
          <a:ext cx="8291062" cy="2886374"/>
        </a:xfrm>
        <a:prstGeom prst="rect">
          <a:avLst/>
        </a:prstGeom>
      </xdr:spPr>
    </xdr:pic>
    <xdr:clientData/>
  </xdr:twoCellAnchor>
  <xdr:twoCellAnchor editAs="oneCell">
    <xdr:from>
      <xdr:col>17</xdr:col>
      <xdr:colOff>184151</xdr:colOff>
      <xdr:row>3497</xdr:row>
      <xdr:rowOff>12700</xdr:rowOff>
    </xdr:from>
    <xdr:to>
      <xdr:col>23</xdr:col>
      <xdr:colOff>229611</xdr:colOff>
      <xdr:row>3504</xdr:row>
      <xdr:rowOff>175942</xdr:rowOff>
    </xdr:to>
    <xdr:pic>
      <xdr:nvPicPr>
        <xdr:cNvPr id="2" name="Picture 1"/>
        <xdr:cNvPicPr>
          <a:picLocks noChangeAspect="1"/>
        </xdr:cNvPicPr>
      </xdr:nvPicPr>
      <xdr:blipFill>
        <a:blip xmlns:r="http://schemas.openxmlformats.org/officeDocument/2006/relationships" r:embed="rId2"/>
        <a:stretch>
          <a:fillRect/>
        </a:stretch>
      </xdr:blipFill>
      <xdr:spPr>
        <a:xfrm>
          <a:off x="10807701" y="571671450"/>
          <a:ext cx="3779260" cy="1452292"/>
        </a:xfrm>
        <a:prstGeom prst="rect">
          <a:avLst/>
        </a:prstGeom>
      </xdr:spPr>
    </xdr:pic>
    <xdr:clientData/>
  </xdr:twoCellAnchor>
  <xdr:twoCellAnchor editAs="oneCell">
    <xdr:from>
      <xdr:col>3</xdr:col>
      <xdr:colOff>171451</xdr:colOff>
      <xdr:row>2022</xdr:row>
      <xdr:rowOff>69850</xdr:rowOff>
    </xdr:from>
    <xdr:to>
      <xdr:col>8</xdr:col>
      <xdr:colOff>626401</xdr:colOff>
      <xdr:row>2034</xdr:row>
      <xdr:rowOff>44449</xdr:rowOff>
    </xdr:to>
    <xdr:pic>
      <xdr:nvPicPr>
        <xdr:cNvPr id="4" name="Picture 3"/>
        <xdr:cNvPicPr>
          <a:picLocks noChangeAspect="1"/>
        </xdr:cNvPicPr>
      </xdr:nvPicPr>
      <xdr:blipFill>
        <a:blip xmlns:r="http://schemas.openxmlformats.org/officeDocument/2006/relationships" r:embed="rId3"/>
        <a:stretch>
          <a:fillRect/>
        </a:stretch>
      </xdr:blipFill>
      <xdr:spPr>
        <a:xfrm>
          <a:off x="2000251" y="176695100"/>
          <a:ext cx="3737900" cy="2184399"/>
        </a:xfrm>
        <a:prstGeom prst="rect">
          <a:avLst/>
        </a:prstGeom>
      </xdr:spPr>
    </xdr:pic>
    <xdr:clientData/>
  </xdr:twoCellAnchor>
  <xdr:twoCellAnchor editAs="oneCell">
    <xdr:from>
      <xdr:col>18</xdr:col>
      <xdr:colOff>303033</xdr:colOff>
      <xdr:row>2022</xdr:row>
      <xdr:rowOff>69850</xdr:rowOff>
    </xdr:from>
    <xdr:to>
      <xdr:col>23</xdr:col>
      <xdr:colOff>277937</xdr:colOff>
      <xdr:row>2039</xdr:row>
      <xdr:rowOff>12700</xdr:rowOff>
    </xdr:to>
    <xdr:pic>
      <xdr:nvPicPr>
        <xdr:cNvPr id="5" name="Picture 4"/>
        <xdr:cNvPicPr>
          <a:picLocks noChangeAspect="1"/>
        </xdr:cNvPicPr>
      </xdr:nvPicPr>
      <xdr:blipFill>
        <a:blip xmlns:r="http://schemas.openxmlformats.org/officeDocument/2006/relationships" r:embed="rId4"/>
        <a:stretch>
          <a:fillRect/>
        </a:stretch>
      </xdr:blipFill>
      <xdr:spPr>
        <a:xfrm>
          <a:off x="11536183" y="176695100"/>
          <a:ext cx="3099104" cy="3073400"/>
        </a:xfrm>
        <a:prstGeom prst="rect">
          <a:avLst/>
        </a:prstGeom>
      </xdr:spPr>
    </xdr:pic>
    <xdr:clientData/>
  </xdr:twoCellAnchor>
  <xdr:twoCellAnchor editAs="oneCell">
    <xdr:from>
      <xdr:col>10</xdr:col>
      <xdr:colOff>266701</xdr:colOff>
      <xdr:row>2022</xdr:row>
      <xdr:rowOff>101599</xdr:rowOff>
    </xdr:from>
    <xdr:to>
      <xdr:col>16</xdr:col>
      <xdr:colOff>571500</xdr:colOff>
      <xdr:row>2039</xdr:row>
      <xdr:rowOff>18162</xdr:rowOff>
    </xdr:to>
    <xdr:pic>
      <xdr:nvPicPr>
        <xdr:cNvPr id="6" name="Picture 5"/>
        <xdr:cNvPicPr>
          <a:picLocks noChangeAspect="1"/>
        </xdr:cNvPicPr>
      </xdr:nvPicPr>
      <xdr:blipFill>
        <a:blip xmlns:r="http://schemas.openxmlformats.org/officeDocument/2006/relationships" r:embed="rId5"/>
        <a:stretch>
          <a:fillRect/>
        </a:stretch>
      </xdr:blipFill>
      <xdr:spPr>
        <a:xfrm>
          <a:off x="6623051" y="176726849"/>
          <a:ext cx="3975099" cy="3047113"/>
        </a:xfrm>
        <a:prstGeom prst="rect">
          <a:avLst/>
        </a:prstGeom>
      </xdr:spPr>
    </xdr:pic>
    <xdr:clientData/>
  </xdr:twoCellAnchor>
  <xdr:twoCellAnchor editAs="oneCell">
    <xdr:from>
      <xdr:col>18</xdr:col>
      <xdr:colOff>342900</xdr:colOff>
      <xdr:row>795</xdr:row>
      <xdr:rowOff>177800</xdr:rowOff>
    </xdr:from>
    <xdr:to>
      <xdr:col>25</xdr:col>
      <xdr:colOff>50799</xdr:colOff>
      <xdr:row>807</xdr:row>
      <xdr:rowOff>154551</xdr:rowOff>
    </xdr:to>
    <xdr:pic>
      <xdr:nvPicPr>
        <xdr:cNvPr id="7" name="Picture 6"/>
        <xdr:cNvPicPr>
          <a:picLocks noChangeAspect="1"/>
        </xdr:cNvPicPr>
      </xdr:nvPicPr>
      <xdr:blipFill>
        <a:blip xmlns:r="http://schemas.openxmlformats.org/officeDocument/2006/relationships" r:embed="rId6"/>
        <a:stretch>
          <a:fillRect/>
        </a:stretch>
      </xdr:blipFill>
      <xdr:spPr>
        <a:xfrm>
          <a:off x="11576050" y="213601300"/>
          <a:ext cx="4083049" cy="2186551"/>
        </a:xfrm>
        <a:prstGeom prst="rect">
          <a:avLst/>
        </a:prstGeom>
      </xdr:spPr>
    </xdr:pic>
    <xdr:clientData/>
  </xdr:twoCellAnchor>
  <xdr:twoCellAnchor editAs="oneCell">
    <xdr:from>
      <xdr:col>17</xdr:col>
      <xdr:colOff>337964</xdr:colOff>
      <xdr:row>2649</xdr:row>
      <xdr:rowOff>25400</xdr:rowOff>
    </xdr:from>
    <xdr:to>
      <xdr:col>24</xdr:col>
      <xdr:colOff>596900</xdr:colOff>
      <xdr:row>2667</xdr:row>
      <xdr:rowOff>147038</xdr:rowOff>
    </xdr:to>
    <xdr:pic>
      <xdr:nvPicPr>
        <xdr:cNvPr id="8" name="Picture 7"/>
        <xdr:cNvPicPr>
          <a:picLocks noChangeAspect="1"/>
        </xdr:cNvPicPr>
      </xdr:nvPicPr>
      <xdr:blipFill>
        <a:blip xmlns:r="http://schemas.openxmlformats.org/officeDocument/2006/relationships" r:embed="rId7"/>
        <a:stretch>
          <a:fillRect/>
        </a:stretch>
      </xdr:blipFill>
      <xdr:spPr>
        <a:xfrm>
          <a:off x="10961514" y="427951900"/>
          <a:ext cx="4602336" cy="3614138"/>
        </a:xfrm>
        <a:prstGeom prst="rect">
          <a:avLst/>
        </a:prstGeom>
      </xdr:spPr>
    </xdr:pic>
    <xdr:clientData/>
  </xdr:twoCellAnchor>
  <xdr:twoCellAnchor editAs="oneCell">
    <xdr:from>
      <xdr:col>25</xdr:col>
      <xdr:colOff>469385</xdr:colOff>
      <xdr:row>2649</xdr:row>
      <xdr:rowOff>76200</xdr:rowOff>
    </xdr:from>
    <xdr:to>
      <xdr:col>31</xdr:col>
      <xdr:colOff>558801</xdr:colOff>
      <xdr:row>2667</xdr:row>
      <xdr:rowOff>168683</xdr:rowOff>
    </xdr:to>
    <xdr:pic>
      <xdr:nvPicPr>
        <xdr:cNvPr id="9" name="Picture 8"/>
        <xdr:cNvPicPr>
          <a:picLocks noChangeAspect="1"/>
        </xdr:cNvPicPr>
      </xdr:nvPicPr>
      <xdr:blipFill>
        <a:blip xmlns:r="http://schemas.openxmlformats.org/officeDocument/2006/relationships" r:embed="rId8"/>
        <a:stretch>
          <a:fillRect/>
        </a:stretch>
      </xdr:blipFill>
      <xdr:spPr>
        <a:xfrm>
          <a:off x="16001485" y="428002700"/>
          <a:ext cx="3778766" cy="3584983"/>
        </a:xfrm>
        <a:prstGeom prst="rect">
          <a:avLst/>
        </a:prstGeom>
      </xdr:spPr>
    </xdr:pic>
    <xdr:clientData/>
  </xdr:twoCellAnchor>
  <xdr:twoCellAnchor editAs="oneCell">
    <xdr:from>
      <xdr:col>25</xdr:col>
      <xdr:colOff>514351</xdr:colOff>
      <xdr:row>2712</xdr:row>
      <xdr:rowOff>190500</xdr:rowOff>
    </xdr:from>
    <xdr:to>
      <xdr:col>30</xdr:col>
      <xdr:colOff>552451</xdr:colOff>
      <xdr:row>2720</xdr:row>
      <xdr:rowOff>79567</xdr:rowOff>
    </xdr:to>
    <xdr:pic>
      <xdr:nvPicPr>
        <xdr:cNvPr id="10" name="Picture 9"/>
        <xdr:cNvPicPr>
          <a:picLocks noChangeAspect="1"/>
        </xdr:cNvPicPr>
      </xdr:nvPicPr>
      <xdr:blipFill>
        <a:blip xmlns:r="http://schemas.openxmlformats.org/officeDocument/2006/relationships" r:embed="rId9"/>
        <a:stretch>
          <a:fillRect/>
        </a:stretch>
      </xdr:blipFill>
      <xdr:spPr>
        <a:xfrm>
          <a:off x="16046451" y="436645050"/>
          <a:ext cx="3117850" cy="1540067"/>
        </a:xfrm>
        <a:prstGeom prst="rect">
          <a:avLst/>
        </a:prstGeom>
      </xdr:spPr>
    </xdr:pic>
    <xdr:clientData/>
  </xdr:twoCellAnchor>
  <xdr:twoCellAnchor editAs="oneCell">
    <xdr:from>
      <xdr:col>16</xdr:col>
      <xdr:colOff>260350</xdr:colOff>
      <xdr:row>2712</xdr:row>
      <xdr:rowOff>14433</xdr:rowOff>
    </xdr:from>
    <xdr:to>
      <xdr:col>24</xdr:col>
      <xdr:colOff>62483</xdr:colOff>
      <xdr:row>2721</xdr:row>
      <xdr:rowOff>40879</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10274300" y="436468983"/>
          <a:ext cx="4774183" cy="1861596"/>
        </a:xfrm>
        <a:prstGeom prst="rect">
          <a:avLst/>
        </a:prstGeom>
      </xdr:spPr>
    </xdr:pic>
    <xdr:clientData/>
  </xdr:twoCellAnchor>
  <xdr:twoCellAnchor editAs="oneCell">
    <xdr:from>
      <xdr:col>25</xdr:col>
      <xdr:colOff>130175</xdr:colOff>
      <xdr:row>3162</xdr:row>
      <xdr:rowOff>101601</xdr:rowOff>
    </xdr:from>
    <xdr:to>
      <xdr:col>30</xdr:col>
      <xdr:colOff>273051</xdr:colOff>
      <xdr:row>3169</xdr:row>
      <xdr:rowOff>63501</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16024225" y="507644401"/>
          <a:ext cx="3222626" cy="1289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234949</xdr:colOff>
      <xdr:row>102</xdr:row>
      <xdr:rowOff>974</xdr:rowOff>
    </xdr:from>
    <xdr:to>
      <xdr:col>11</xdr:col>
      <xdr:colOff>538430</xdr:colOff>
      <xdr:row>109</xdr:row>
      <xdr:rowOff>155247</xdr:rowOff>
    </xdr:to>
    <xdr:pic>
      <xdr:nvPicPr>
        <xdr:cNvPr id="2" name="Picture 1"/>
        <xdr:cNvPicPr>
          <a:picLocks noChangeAspect="1"/>
        </xdr:cNvPicPr>
      </xdr:nvPicPr>
      <xdr:blipFill>
        <a:blip xmlns:r="http://schemas.openxmlformats.org/officeDocument/2006/relationships" r:embed="rId1"/>
        <a:stretch>
          <a:fillRect/>
        </a:stretch>
      </xdr:blipFill>
      <xdr:spPr>
        <a:xfrm>
          <a:off x="1454149" y="19749474"/>
          <a:ext cx="5815281" cy="14433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533400</xdr:colOff>
      <xdr:row>382</xdr:row>
      <xdr:rowOff>76856</xdr:rowOff>
    </xdr:from>
    <xdr:to>
      <xdr:col>32</xdr:col>
      <xdr:colOff>152400</xdr:colOff>
      <xdr:row>390</xdr:row>
      <xdr:rowOff>152858</xdr:rowOff>
    </xdr:to>
    <xdr:pic>
      <xdr:nvPicPr>
        <xdr:cNvPr id="2" name="Picture 1"/>
        <xdr:cNvPicPr>
          <a:picLocks noChangeAspect="1"/>
        </xdr:cNvPicPr>
      </xdr:nvPicPr>
      <xdr:blipFill>
        <a:blip xmlns:r="http://schemas.openxmlformats.org/officeDocument/2006/relationships" r:embed="rId1"/>
        <a:stretch>
          <a:fillRect/>
        </a:stretch>
      </xdr:blipFill>
      <xdr:spPr>
        <a:xfrm>
          <a:off x="12725400" y="45930206"/>
          <a:ext cx="6934200" cy="1549202"/>
        </a:xfrm>
        <a:prstGeom prst="rect">
          <a:avLst/>
        </a:prstGeom>
      </xdr:spPr>
    </xdr:pic>
    <xdr:clientData/>
  </xdr:twoCellAnchor>
  <xdr:twoCellAnchor editAs="oneCell">
    <xdr:from>
      <xdr:col>6</xdr:col>
      <xdr:colOff>476463</xdr:colOff>
      <xdr:row>1252</xdr:row>
      <xdr:rowOff>177588</xdr:rowOff>
    </xdr:from>
    <xdr:to>
      <xdr:col>8</xdr:col>
      <xdr:colOff>533401</xdr:colOff>
      <xdr:row>1255</xdr:row>
      <xdr:rowOff>27612</xdr:rowOff>
    </xdr:to>
    <xdr:pic>
      <xdr:nvPicPr>
        <xdr:cNvPr id="5" name="Picture 4"/>
        <xdr:cNvPicPr>
          <a:picLocks noChangeAspect="1"/>
        </xdr:cNvPicPr>
      </xdr:nvPicPr>
      <xdr:blipFill>
        <a:blip xmlns:r="http://schemas.openxmlformats.org/officeDocument/2006/relationships" r:embed="rId2"/>
        <a:stretch>
          <a:fillRect/>
        </a:stretch>
      </xdr:blipFill>
      <xdr:spPr>
        <a:xfrm rot="16200000">
          <a:off x="4570895" y="60916656"/>
          <a:ext cx="402474" cy="1276138"/>
        </a:xfrm>
        <a:prstGeom prst="rect">
          <a:avLst/>
        </a:prstGeom>
      </xdr:spPr>
    </xdr:pic>
    <xdr:clientData/>
  </xdr:twoCellAnchor>
  <xdr:twoCellAnchor editAs="oneCell">
    <xdr:from>
      <xdr:col>15</xdr:col>
      <xdr:colOff>584200</xdr:colOff>
      <xdr:row>475</xdr:row>
      <xdr:rowOff>108539</xdr:rowOff>
    </xdr:from>
    <xdr:to>
      <xdr:col>20</xdr:col>
      <xdr:colOff>132786</xdr:colOff>
      <xdr:row>486</xdr:row>
      <xdr:rowOff>44024</xdr:rowOff>
    </xdr:to>
    <xdr:pic>
      <xdr:nvPicPr>
        <xdr:cNvPr id="7" name="Picture 6"/>
        <xdr:cNvPicPr>
          <a:picLocks noChangeAspect="1"/>
        </xdr:cNvPicPr>
      </xdr:nvPicPr>
      <xdr:blipFill>
        <a:blip xmlns:r="http://schemas.openxmlformats.org/officeDocument/2006/relationships" r:embed="rId3"/>
        <a:stretch>
          <a:fillRect/>
        </a:stretch>
      </xdr:blipFill>
      <xdr:spPr>
        <a:xfrm>
          <a:off x="9728200" y="59773139"/>
          <a:ext cx="2596586" cy="1961135"/>
        </a:xfrm>
        <a:prstGeom prst="rect">
          <a:avLst/>
        </a:prstGeom>
      </xdr:spPr>
    </xdr:pic>
    <xdr:clientData/>
  </xdr:twoCellAnchor>
  <xdr:twoCellAnchor editAs="oneCell">
    <xdr:from>
      <xdr:col>20</xdr:col>
      <xdr:colOff>321497</xdr:colOff>
      <xdr:row>474</xdr:row>
      <xdr:rowOff>38100</xdr:rowOff>
    </xdr:from>
    <xdr:to>
      <xdr:col>31</xdr:col>
      <xdr:colOff>30757</xdr:colOff>
      <xdr:row>486</xdr:row>
      <xdr:rowOff>174262</xdr:rowOff>
    </xdr:to>
    <xdr:pic>
      <xdr:nvPicPr>
        <xdr:cNvPr id="8" name="Picture 7"/>
        <xdr:cNvPicPr>
          <a:picLocks noChangeAspect="1"/>
        </xdr:cNvPicPr>
      </xdr:nvPicPr>
      <xdr:blipFill>
        <a:blip xmlns:r="http://schemas.openxmlformats.org/officeDocument/2006/relationships" r:embed="rId4"/>
        <a:stretch>
          <a:fillRect/>
        </a:stretch>
      </xdr:blipFill>
      <xdr:spPr>
        <a:xfrm>
          <a:off x="12513497" y="59518550"/>
          <a:ext cx="6414860" cy="2345962"/>
        </a:xfrm>
        <a:prstGeom prst="rect">
          <a:avLst/>
        </a:prstGeom>
      </xdr:spPr>
    </xdr:pic>
    <xdr:clientData/>
  </xdr:twoCellAnchor>
  <xdr:twoCellAnchor editAs="oneCell">
    <xdr:from>
      <xdr:col>9</xdr:col>
      <xdr:colOff>63500</xdr:colOff>
      <xdr:row>483</xdr:row>
      <xdr:rowOff>153266</xdr:rowOff>
    </xdr:from>
    <xdr:to>
      <xdr:col>14</xdr:col>
      <xdr:colOff>551543</xdr:colOff>
      <xdr:row>485</xdr:row>
      <xdr:rowOff>184047</xdr:rowOff>
    </xdr:to>
    <xdr:pic>
      <xdr:nvPicPr>
        <xdr:cNvPr id="9" name="Picture 8"/>
        <xdr:cNvPicPr>
          <a:picLocks noChangeAspect="1"/>
        </xdr:cNvPicPr>
      </xdr:nvPicPr>
      <xdr:blipFill>
        <a:blip xmlns:r="http://schemas.openxmlformats.org/officeDocument/2006/relationships" r:embed="rId5"/>
        <a:stretch>
          <a:fillRect/>
        </a:stretch>
      </xdr:blipFill>
      <xdr:spPr>
        <a:xfrm>
          <a:off x="5549900" y="77534366"/>
          <a:ext cx="3536043" cy="399081"/>
        </a:xfrm>
        <a:prstGeom prst="rect">
          <a:avLst/>
        </a:prstGeom>
      </xdr:spPr>
    </xdr:pic>
    <xdr:clientData/>
  </xdr:twoCellAnchor>
  <xdr:twoCellAnchor editAs="oneCell">
    <xdr:from>
      <xdr:col>9</xdr:col>
      <xdr:colOff>95250</xdr:colOff>
      <xdr:row>800</xdr:row>
      <xdr:rowOff>76200</xdr:rowOff>
    </xdr:from>
    <xdr:to>
      <xdr:col>18</xdr:col>
      <xdr:colOff>446437</xdr:colOff>
      <xdr:row>815</xdr:row>
      <xdr:rowOff>167774</xdr:rowOff>
    </xdr:to>
    <xdr:pic>
      <xdr:nvPicPr>
        <xdr:cNvPr id="10" name="Picture 9"/>
        <xdr:cNvPicPr>
          <a:picLocks noChangeAspect="1"/>
        </xdr:cNvPicPr>
      </xdr:nvPicPr>
      <xdr:blipFill rotWithShape="1">
        <a:blip xmlns:r="http://schemas.openxmlformats.org/officeDocument/2006/relationships" r:embed="rId6"/>
        <a:srcRect l="17116"/>
        <a:stretch/>
      </xdr:blipFill>
      <xdr:spPr>
        <a:xfrm>
          <a:off x="5581650" y="128955800"/>
          <a:ext cx="5837587" cy="2853824"/>
        </a:xfrm>
        <a:prstGeom prst="rect">
          <a:avLst/>
        </a:prstGeom>
      </xdr:spPr>
    </xdr:pic>
    <xdr:clientData/>
  </xdr:twoCellAnchor>
  <xdr:twoCellAnchor editAs="oneCell">
    <xdr:from>
      <xdr:col>7</xdr:col>
      <xdr:colOff>273050</xdr:colOff>
      <xdr:row>829</xdr:row>
      <xdr:rowOff>76200</xdr:rowOff>
    </xdr:from>
    <xdr:to>
      <xdr:col>9</xdr:col>
      <xdr:colOff>527049</xdr:colOff>
      <xdr:row>831</xdr:row>
      <xdr:rowOff>158655</xdr:rowOff>
    </xdr:to>
    <xdr:pic>
      <xdr:nvPicPr>
        <xdr:cNvPr id="11" name="Picture 10"/>
        <xdr:cNvPicPr>
          <a:picLocks noChangeAspect="1"/>
        </xdr:cNvPicPr>
      </xdr:nvPicPr>
      <xdr:blipFill>
        <a:blip xmlns:r="http://schemas.openxmlformats.org/officeDocument/2006/relationships" r:embed="rId7"/>
        <a:stretch>
          <a:fillRect/>
        </a:stretch>
      </xdr:blipFill>
      <xdr:spPr>
        <a:xfrm>
          <a:off x="4540250" y="109632750"/>
          <a:ext cx="1473199" cy="450755"/>
        </a:xfrm>
        <a:prstGeom prst="rect">
          <a:avLst/>
        </a:prstGeom>
      </xdr:spPr>
    </xdr:pic>
    <xdr:clientData/>
  </xdr:twoCellAnchor>
  <xdr:twoCellAnchor editAs="oneCell">
    <xdr:from>
      <xdr:col>18</xdr:col>
      <xdr:colOff>554983</xdr:colOff>
      <xdr:row>801</xdr:row>
      <xdr:rowOff>57150</xdr:rowOff>
    </xdr:from>
    <xdr:to>
      <xdr:col>22</xdr:col>
      <xdr:colOff>560228</xdr:colOff>
      <xdr:row>815</xdr:row>
      <xdr:rowOff>63500</xdr:rowOff>
    </xdr:to>
    <xdr:pic>
      <xdr:nvPicPr>
        <xdr:cNvPr id="12" name="Picture 11"/>
        <xdr:cNvPicPr>
          <a:picLocks noChangeAspect="1"/>
        </xdr:cNvPicPr>
      </xdr:nvPicPr>
      <xdr:blipFill>
        <a:blip xmlns:r="http://schemas.openxmlformats.org/officeDocument/2006/relationships" r:embed="rId8"/>
        <a:stretch>
          <a:fillRect/>
        </a:stretch>
      </xdr:blipFill>
      <xdr:spPr>
        <a:xfrm>
          <a:off x="11527783" y="116573300"/>
          <a:ext cx="2443645" cy="2584450"/>
        </a:xfrm>
        <a:prstGeom prst="rect">
          <a:avLst/>
        </a:prstGeom>
      </xdr:spPr>
    </xdr:pic>
    <xdr:clientData/>
  </xdr:twoCellAnchor>
  <xdr:twoCellAnchor editAs="oneCell">
    <xdr:from>
      <xdr:col>16</xdr:col>
      <xdr:colOff>552450</xdr:colOff>
      <xdr:row>735</xdr:row>
      <xdr:rowOff>6350</xdr:rowOff>
    </xdr:from>
    <xdr:to>
      <xdr:col>19</xdr:col>
      <xdr:colOff>57454</xdr:colOff>
      <xdr:row>743</xdr:row>
      <xdr:rowOff>121012</xdr:rowOff>
    </xdr:to>
    <xdr:pic>
      <xdr:nvPicPr>
        <xdr:cNvPr id="40" name="Picture 39"/>
        <xdr:cNvPicPr>
          <a:picLocks noChangeAspect="1"/>
        </xdr:cNvPicPr>
      </xdr:nvPicPr>
      <xdr:blipFill>
        <a:blip xmlns:r="http://schemas.openxmlformats.org/officeDocument/2006/relationships" r:embed="rId9"/>
        <a:stretch>
          <a:fillRect/>
        </a:stretch>
      </xdr:blipFill>
      <xdr:spPr>
        <a:xfrm>
          <a:off x="10306050" y="91293950"/>
          <a:ext cx="1333804" cy="1587862"/>
        </a:xfrm>
        <a:prstGeom prst="rect">
          <a:avLst/>
        </a:prstGeom>
      </xdr:spPr>
    </xdr:pic>
    <xdr:clientData/>
  </xdr:twoCellAnchor>
  <xdr:twoCellAnchor editAs="oneCell">
    <xdr:from>
      <xdr:col>6</xdr:col>
      <xdr:colOff>514350</xdr:colOff>
      <xdr:row>802</xdr:row>
      <xdr:rowOff>63500</xdr:rowOff>
    </xdr:from>
    <xdr:to>
      <xdr:col>9</xdr:col>
      <xdr:colOff>19354</xdr:colOff>
      <xdr:row>810</xdr:row>
      <xdr:rowOff>178162</xdr:rowOff>
    </xdr:to>
    <xdr:pic>
      <xdr:nvPicPr>
        <xdr:cNvPr id="41" name="Picture 40"/>
        <xdr:cNvPicPr>
          <a:picLocks noChangeAspect="1"/>
        </xdr:cNvPicPr>
      </xdr:nvPicPr>
      <xdr:blipFill>
        <a:blip xmlns:r="http://schemas.openxmlformats.org/officeDocument/2006/relationships" r:embed="rId9"/>
        <a:stretch>
          <a:fillRect/>
        </a:stretch>
      </xdr:blipFill>
      <xdr:spPr>
        <a:xfrm>
          <a:off x="4171950" y="116763800"/>
          <a:ext cx="1333804" cy="1587862"/>
        </a:xfrm>
        <a:prstGeom prst="rect">
          <a:avLst/>
        </a:prstGeom>
      </xdr:spPr>
    </xdr:pic>
    <xdr:clientData/>
  </xdr:twoCellAnchor>
  <xdr:twoCellAnchor editAs="oneCell">
    <xdr:from>
      <xdr:col>19</xdr:col>
      <xdr:colOff>133350</xdr:colOff>
      <xdr:row>735</xdr:row>
      <xdr:rowOff>0</xdr:rowOff>
    </xdr:from>
    <xdr:to>
      <xdr:col>23</xdr:col>
      <xdr:colOff>32282</xdr:colOff>
      <xdr:row>744</xdr:row>
      <xdr:rowOff>19432</xdr:rowOff>
    </xdr:to>
    <xdr:pic>
      <xdr:nvPicPr>
        <xdr:cNvPr id="42" name="Picture 41"/>
        <xdr:cNvPicPr>
          <a:picLocks noChangeAspect="1"/>
        </xdr:cNvPicPr>
      </xdr:nvPicPr>
      <xdr:blipFill>
        <a:blip xmlns:r="http://schemas.openxmlformats.org/officeDocument/2006/relationships" r:embed="rId10"/>
        <a:stretch>
          <a:fillRect/>
        </a:stretch>
      </xdr:blipFill>
      <xdr:spPr>
        <a:xfrm>
          <a:off x="11715750" y="91287600"/>
          <a:ext cx="2337332" cy="1676782"/>
        </a:xfrm>
        <a:prstGeom prst="rect">
          <a:avLst/>
        </a:prstGeom>
      </xdr:spPr>
    </xdr:pic>
    <xdr:clientData/>
  </xdr:twoCellAnchor>
  <xdr:twoCellAnchor editAs="oneCell">
    <xdr:from>
      <xdr:col>18</xdr:col>
      <xdr:colOff>82550</xdr:colOff>
      <xdr:row>431</xdr:row>
      <xdr:rowOff>152400</xdr:rowOff>
    </xdr:from>
    <xdr:to>
      <xdr:col>26</xdr:col>
      <xdr:colOff>516970</xdr:colOff>
      <xdr:row>447</xdr:row>
      <xdr:rowOff>0</xdr:rowOff>
    </xdr:to>
    <xdr:pic>
      <xdr:nvPicPr>
        <xdr:cNvPr id="23" name="Picture 22"/>
        <xdr:cNvPicPr>
          <a:picLocks noChangeAspect="1"/>
        </xdr:cNvPicPr>
      </xdr:nvPicPr>
      <xdr:blipFill rotWithShape="1">
        <a:blip xmlns:r="http://schemas.openxmlformats.org/officeDocument/2006/relationships" r:embed="rId11"/>
        <a:srcRect l="28617"/>
        <a:stretch/>
      </xdr:blipFill>
      <xdr:spPr>
        <a:xfrm>
          <a:off x="11055350" y="60001150"/>
          <a:ext cx="5311220" cy="2794000"/>
        </a:xfrm>
        <a:prstGeom prst="rect">
          <a:avLst/>
        </a:prstGeom>
      </xdr:spPr>
    </xdr:pic>
    <xdr:clientData/>
  </xdr:twoCellAnchor>
  <xdr:twoCellAnchor editAs="oneCell">
    <xdr:from>
      <xdr:col>18</xdr:col>
      <xdr:colOff>152400</xdr:colOff>
      <xdr:row>368</xdr:row>
      <xdr:rowOff>25400</xdr:rowOff>
    </xdr:from>
    <xdr:to>
      <xdr:col>24</xdr:col>
      <xdr:colOff>53794</xdr:colOff>
      <xdr:row>374</xdr:row>
      <xdr:rowOff>158750</xdr:rowOff>
    </xdr:to>
    <xdr:pic>
      <xdr:nvPicPr>
        <xdr:cNvPr id="25" name="Picture 24"/>
        <xdr:cNvPicPr>
          <a:picLocks noChangeAspect="1"/>
        </xdr:cNvPicPr>
      </xdr:nvPicPr>
      <xdr:blipFill>
        <a:blip xmlns:r="http://schemas.openxmlformats.org/officeDocument/2006/relationships" r:embed="rId12"/>
        <a:stretch>
          <a:fillRect/>
        </a:stretch>
      </xdr:blipFill>
      <xdr:spPr>
        <a:xfrm>
          <a:off x="11125200" y="44773850"/>
          <a:ext cx="3558994" cy="1238250"/>
        </a:xfrm>
        <a:prstGeom prst="rect">
          <a:avLst/>
        </a:prstGeom>
      </xdr:spPr>
    </xdr:pic>
    <xdr:clientData/>
  </xdr:twoCellAnchor>
  <xdr:twoCellAnchor editAs="oneCell">
    <xdr:from>
      <xdr:col>24</xdr:col>
      <xdr:colOff>451902</xdr:colOff>
      <xdr:row>368</xdr:row>
      <xdr:rowOff>0</xdr:rowOff>
    </xdr:from>
    <xdr:to>
      <xdr:col>30</xdr:col>
      <xdr:colOff>367936</xdr:colOff>
      <xdr:row>374</xdr:row>
      <xdr:rowOff>158750</xdr:rowOff>
    </xdr:to>
    <xdr:pic>
      <xdr:nvPicPr>
        <xdr:cNvPr id="13" name="Picture 12"/>
        <xdr:cNvPicPr>
          <a:picLocks noChangeAspect="1"/>
        </xdr:cNvPicPr>
      </xdr:nvPicPr>
      <xdr:blipFill>
        <a:blip xmlns:r="http://schemas.openxmlformats.org/officeDocument/2006/relationships" r:embed="rId13"/>
        <a:stretch>
          <a:fillRect/>
        </a:stretch>
      </xdr:blipFill>
      <xdr:spPr>
        <a:xfrm>
          <a:off x="15082302" y="44748450"/>
          <a:ext cx="3573634" cy="1263650"/>
        </a:xfrm>
        <a:prstGeom prst="rect">
          <a:avLst/>
        </a:prstGeom>
      </xdr:spPr>
    </xdr:pic>
    <xdr:clientData/>
  </xdr:twoCellAnchor>
  <xdr:twoCellAnchor editAs="oneCell">
    <xdr:from>
      <xdr:col>3</xdr:col>
      <xdr:colOff>31750</xdr:colOff>
      <xdr:row>803</xdr:row>
      <xdr:rowOff>6350</xdr:rowOff>
    </xdr:from>
    <xdr:to>
      <xdr:col>6</xdr:col>
      <xdr:colOff>540282</xdr:colOff>
      <xdr:row>810</xdr:row>
      <xdr:rowOff>178133</xdr:rowOff>
    </xdr:to>
    <xdr:pic>
      <xdr:nvPicPr>
        <xdr:cNvPr id="14" name="Picture 13"/>
        <xdr:cNvPicPr>
          <a:picLocks noChangeAspect="1"/>
        </xdr:cNvPicPr>
      </xdr:nvPicPr>
      <xdr:blipFill>
        <a:blip xmlns:r="http://schemas.openxmlformats.org/officeDocument/2006/relationships" r:embed="rId14"/>
        <a:stretch>
          <a:fillRect/>
        </a:stretch>
      </xdr:blipFill>
      <xdr:spPr>
        <a:xfrm>
          <a:off x="1860550" y="116890800"/>
          <a:ext cx="2337332" cy="1460833"/>
        </a:xfrm>
        <a:prstGeom prst="rect">
          <a:avLst/>
        </a:prstGeom>
      </xdr:spPr>
    </xdr:pic>
    <xdr:clientData/>
  </xdr:twoCellAnchor>
  <xdr:twoCellAnchor editAs="oneCell">
    <xdr:from>
      <xdr:col>12</xdr:col>
      <xdr:colOff>527050</xdr:colOff>
      <xdr:row>735</xdr:row>
      <xdr:rowOff>146050</xdr:rowOff>
    </xdr:from>
    <xdr:to>
      <xdr:col>16</xdr:col>
      <xdr:colOff>425982</xdr:colOff>
      <xdr:row>743</xdr:row>
      <xdr:rowOff>133683</xdr:rowOff>
    </xdr:to>
    <xdr:pic>
      <xdr:nvPicPr>
        <xdr:cNvPr id="29" name="Picture 28"/>
        <xdr:cNvPicPr>
          <a:picLocks noChangeAspect="1"/>
        </xdr:cNvPicPr>
      </xdr:nvPicPr>
      <xdr:blipFill>
        <a:blip xmlns:r="http://schemas.openxmlformats.org/officeDocument/2006/relationships" r:embed="rId14"/>
        <a:stretch>
          <a:fillRect/>
        </a:stretch>
      </xdr:blipFill>
      <xdr:spPr>
        <a:xfrm>
          <a:off x="7842250" y="98063050"/>
          <a:ext cx="2337332" cy="1460833"/>
        </a:xfrm>
        <a:prstGeom prst="rect">
          <a:avLst/>
        </a:prstGeom>
      </xdr:spPr>
    </xdr:pic>
    <xdr:clientData/>
  </xdr:twoCellAnchor>
  <xdr:twoCellAnchor editAs="oneCell">
    <xdr:from>
      <xdr:col>9</xdr:col>
      <xdr:colOff>588340</xdr:colOff>
      <xdr:row>347</xdr:row>
      <xdr:rowOff>6350</xdr:rowOff>
    </xdr:from>
    <xdr:to>
      <xdr:col>13</xdr:col>
      <xdr:colOff>174105</xdr:colOff>
      <xdr:row>350</xdr:row>
      <xdr:rowOff>79214</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6074740" y="43649900"/>
          <a:ext cx="2024165" cy="625314"/>
        </a:xfrm>
        <a:prstGeom prst="rect">
          <a:avLst/>
        </a:prstGeom>
      </xdr:spPr>
    </xdr:pic>
    <xdr:clientData/>
  </xdr:twoCellAnchor>
  <xdr:twoCellAnchor editAs="oneCell">
    <xdr:from>
      <xdr:col>13</xdr:col>
      <xdr:colOff>216466</xdr:colOff>
      <xdr:row>938</xdr:row>
      <xdr:rowOff>117732</xdr:rowOff>
    </xdr:from>
    <xdr:to>
      <xdr:col>17</xdr:col>
      <xdr:colOff>228600</xdr:colOff>
      <xdr:row>943</xdr:row>
      <xdr:rowOff>63500</xdr:rowOff>
    </xdr:to>
    <xdr:pic>
      <xdr:nvPicPr>
        <xdr:cNvPr id="33" name="Picture 32"/>
        <xdr:cNvPicPr>
          <a:picLocks noChangeAspect="1"/>
        </xdr:cNvPicPr>
      </xdr:nvPicPr>
      <xdr:blipFill>
        <a:blip xmlns:r="http://schemas.openxmlformats.org/officeDocument/2006/relationships" r:embed="rId13"/>
        <a:stretch>
          <a:fillRect/>
        </a:stretch>
      </xdr:blipFill>
      <xdr:spPr>
        <a:xfrm>
          <a:off x="8141266" y="141856082"/>
          <a:ext cx="2450534" cy="866518"/>
        </a:xfrm>
        <a:prstGeom prst="rect">
          <a:avLst/>
        </a:prstGeom>
      </xdr:spPr>
    </xdr:pic>
    <xdr:clientData/>
  </xdr:twoCellAnchor>
  <xdr:twoCellAnchor editAs="oneCell">
    <xdr:from>
      <xdr:col>3</xdr:col>
      <xdr:colOff>101600</xdr:colOff>
      <xdr:row>860</xdr:row>
      <xdr:rowOff>50433</xdr:rowOff>
    </xdr:from>
    <xdr:to>
      <xdr:col>12</xdr:col>
      <xdr:colOff>568057</xdr:colOff>
      <xdr:row>881</xdr:row>
      <xdr:rowOff>4945</xdr:rowOff>
    </xdr:to>
    <xdr:pic>
      <xdr:nvPicPr>
        <xdr:cNvPr id="21" name="Picture 2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30400" y="117658783"/>
          <a:ext cx="5952857" cy="3821662"/>
        </a:xfrm>
        <a:prstGeom prst="rect">
          <a:avLst/>
        </a:prstGeom>
      </xdr:spPr>
    </xdr:pic>
    <xdr:clientData/>
  </xdr:twoCellAnchor>
  <xdr:twoCellAnchor editAs="oneCell">
    <xdr:from>
      <xdr:col>3</xdr:col>
      <xdr:colOff>41148</xdr:colOff>
      <xdr:row>431</xdr:row>
      <xdr:rowOff>107950</xdr:rowOff>
    </xdr:from>
    <xdr:to>
      <xdr:col>17</xdr:col>
      <xdr:colOff>319069</xdr:colOff>
      <xdr:row>448</xdr:row>
      <xdr:rowOff>139123</xdr:rowOff>
    </xdr:to>
    <xdr:pic>
      <xdr:nvPicPr>
        <xdr:cNvPr id="26" name="Picture 25"/>
        <xdr:cNvPicPr>
          <a:picLocks noChangeAspect="1"/>
        </xdr:cNvPicPr>
      </xdr:nvPicPr>
      <xdr:blipFill>
        <a:blip xmlns:r="http://schemas.openxmlformats.org/officeDocument/2006/relationships" r:embed="rId17"/>
        <a:stretch>
          <a:fillRect/>
        </a:stretch>
      </xdr:blipFill>
      <xdr:spPr>
        <a:xfrm>
          <a:off x="1869948" y="59956700"/>
          <a:ext cx="8812321" cy="3161723"/>
        </a:xfrm>
        <a:prstGeom prst="rect">
          <a:avLst/>
        </a:prstGeom>
      </xdr:spPr>
    </xdr:pic>
    <xdr:clientData/>
  </xdr:twoCellAnchor>
  <xdr:twoCellAnchor editAs="oneCell">
    <xdr:from>
      <xdr:col>14</xdr:col>
      <xdr:colOff>425451</xdr:colOff>
      <xdr:row>889</xdr:row>
      <xdr:rowOff>41107</xdr:rowOff>
    </xdr:from>
    <xdr:to>
      <xdr:col>28</xdr:col>
      <xdr:colOff>565150</xdr:colOff>
      <xdr:row>918</xdr:row>
      <xdr:rowOff>150006</xdr:rowOff>
    </xdr:to>
    <xdr:pic>
      <xdr:nvPicPr>
        <xdr:cNvPr id="47" name="Picture 4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959851" y="131460707"/>
          <a:ext cx="8674099" cy="5455599"/>
        </a:xfrm>
        <a:prstGeom prst="rect">
          <a:avLst/>
        </a:prstGeom>
      </xdr:spPr>
    </xdr:pic>
    <xdr:clientData/>
  </xdr:twoCellAnchor>
  <xdr:twoCellAnchor editAs="oneCell">
    <xdr:from>
      <xdr:col>3</xdr:col>
      <xdr:colOff>196850</xdr:colOff>
      <xdr:row>998</xdr:row>
      <xdr:rowOff>0</xdr:rowOff>
    </xdr:from>
    <xdr:to>
      <xdr:col>11</xdr:col>
      <xdr:colOff>546100</xdr:colOff>
      <xdr:row>1011</xdr:row>
      <xdr:rowOff>179334</xdr:rowOff>
    </xdr:to>
    <xdr:pic>
      <xdr:nvPicPr>
        <xdr:cNvPr id="39" name="Picture 38"/>
        <xdr:cNvPicPr>
          <a:picLocks noChangeAspect="1"/>
        </xdr:cNvPicPr>
      </xdr:nvPicPr>
      <xdr:blipFill>
        <a:blip xmlns:r="http://schemas.openxmlformats.org/officeDocument/2006/relationships" r:embed="rId19"/>
        <a:stretch>
          <a:fillRect/>
        </a:stretch>
      </xdr:blipFill>
      <xdr:spPr>
        <a:xfrm>
          <a:off x="2025650" y="155549600"/>
          <a:ext cx="5226050" cy="2573284"/>
        </a:xfrm>
        <a:prstGeom prst="rect">
          <a:avLst/>
        </a:prstGeom>
      </xdr:spPr>
    </xdr:pic>
    <xdr:clientData/>
  </xdr:twoCellAnchor>
  <xdr:twoCellAnchor editAs="oneCell">
    <xdr:from>
      <xdr:col>3</xdr:col>
      <xdr:colOff>0</xdr:colOff>
      <xdr:row>945</xdr:row>
      <xdr:rowOff>44450</xdr:rowOff>
    </xdr:from>
    <xdr:to>
      <xdr:col>13</xdr:col>
      <xdr:colOff>458693</xdr:colOff>
      <xdr:row>965</xdr:row>
      <xdr:rowOff>83398</xdr:rowOff>
    </xdr:to>
    <xdr:pic>
      <xdr:nvPicPr>
        <xdr:cNvPr id="50" name="Picture 49"/>
        <xdr:cNvPicPr>
          <a:picLocks noChangeAspect="1"/>
        </xdr:cNvPicPr>
      </xdr:nvPicPr>
      <xdr:blipFill>
        <a:blip xmlns:r="http://schemas.openxmlformats.org/officeDocument/2006/relationships" r:embed="rId20"/>
        <a:stretch>
          <a:fillRect/>
        </a:stretch>
      </xdr:blipFill>
      <xdr:spPr>
        <a:xfrm>
          <a:off x="1828800" y="146202400"/>
          <a:ext cx="6554693" cy="3721948"/>
        </a:xfrm>
        <a:prstGeom prst="rect">
          <a:avLst/>
        </a:prstGeom>
      </xdr:spPr>
    </xdr:pic>
    <xdr:clientData/>
  </xdr:twoCellAnchor>
  <xdr:twoCellAnchor editAs="oneCell">
    <xdr:from>
      <xdr:col>13</xdr:col>
      <xdr:colOff>266699</xdr:colOff>
      <xdr:row>997</xdr:row>
      <xdr:rowOff>127756</xdr:rowOff>
    </xdr:from>
    <xdr:to>
      <xdr:col>24</xdr:col>
      <xdr:colOff>304846</xdr:colOff>
      <xdr:row>1014</xdr:row>
      <xdr:rowOff>139700</xdr:rowOff>
    </xdr:to>
    <xdr:pic>
      <xdr:nvPicPr>
        <xdr:cNvPr id="51" name="Picture 50"/>
        <xdr:cNvPicPr>
          <a:picLocks noChangeAspect="1"/>
        </xdr:cNvPicPr>
      </xdr:nvPicPr>
      <xdr:blipFill>
        <a:blip xmlns:r="http://schemas.openxmlformats.org/officeDocument/2006/relationships" r:embed="rId21"/>
        <a:stretch>
          <a:fillRect/>
        </a:stretch>
      </xdr:blipFill>
      <xdr:spPr>
        <a:xfrm>
          <a:off x="8191499" y="158439606"/>
          <a:ext cx="6743747" cy="31424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owerelectronictips.com/inexpensive-ideal-diode-mosfet-circuit/" TargetMode="External"/><Relationship Id="rId671" Type="http://schemas.openxmlformats.org/officeDocument/2006/relationships/hyperlink" Target="https://www.digikey.com/product-detail/en/texas-instruments/TLV9061IDCKR/296-53199-2-ND/9861481" TargetMode="External"/><Relationship Id="rId769" Type="http://schemas.openxmlformats.org/officeDocument/2006/relationships/hyperlink" Target="http://ww1.microchip.com/downloads/en/DeviceDoc/MCP3564-ADC-Eval-Board-for-PIC32-User-Guide-50002858A.pdf" TargetMode="External"/><Relationship Id="rId21" Type="http://schemas.openxmlformats.org/officeDocument/2006/relationships/hyperlink" Target="https://en.wikipedia.org/wiki/Thermal_conductivity" TargetMode="External"/><Relationship Id="rId324" Type="http://schemas.openxmlformats.org/officeDocument/2006/relationships/hyperlink" Target="https://www.onsemi.com/products/interfaces/analog-switches/nlast4599" TargetMode="External"/><Relationship Id="rId531" Type="http://schemas.openxmlformats.org/officeDocument/2006/relationships/hyperlink" Target="https://www.digikey.com/product-detail/en/diodes-incorporated/DMP3099LQ-7/DMP3099LQ-7-ND/9769996" TargetMode="External"/><Relationship Id="rId629" Type="http://schemas.openxmlformats.org/officeDocument/2006/relationships/hyperlink" Target="https://www.digikey.com/product-detail/en/texas-instruments/OPA365AIDR/296-46162-2-ND/1572590" TargetMode="External"/><Relationship Id="rId170" Type="http://schemas.openxmlformats.org/officeDocument/2006/relationships/hyperlink" Target="https://www.researchgate.net/figure/Circuit-diagram-of-the-Proposed-Solar-Power-Optimizer_fig2_308928331" TargetMode="External"/><Relationship Id="rId268" Type="http://schemas.openxmlformats.org/officeDocument/2006/relationships/hyperlink" Target="http://www.ti.com/lit/an/snva801/snva801.pdf" TargetMode="External"/><Relationship Id="rId475" Type="http://schemas.openxmlformats.org/officeDocument/2006/relationships/hyperlink" Target="https://www.climate.gov/maps-data/dataset/average-wind-speeds-map-viewer" TargetMode="External"/><Relationship Id="rId682" Type="http://schemas.openxmlformats.org/officeDocument/2006/relationships/hyperlink" Target="https://www.digikey.com/product-detail/en/panasonic-electronic-components/EXB-N8V103JX/Y10103TR-ND/671523" TargetMode="External"/><Relationship Id="rId32" Type="http://schemas.openxmlformats.org/officeDocument/2006/relationships/hyperlink" Target="https://theengineeringmindset.com/specific-heat-capacity-of-materials/" TargetMode="External"/><Relationship Id="rId128" Type="http://schemas.openxmlformats.org/officeDocument/2006/relationships/hyperlink" Target="https://www.digikey.com/product-detail/en/nexperia-usa-inc/74HC4051PW118/1727-3064-2-ND/946649" TargetMode="External"/><Relationship Id="rId335" Type="http://schemas.openxmlformats.org/officeDocument/2006/relationships/hyperlink" Target="https://www.onsemi.com/support/design-resources/models?rpn=MMBT5551L" TargetMode="External"/><Relationship Id="rId542" Type="http://schemas.openxmlformats.org/officeDocument/2006/relationships/hyperlink" Target="http://www.ti.com/lit/ug/tidueq1a/tidueq1a.pdf" TargetMode="External"/><Relationship Id="rId181" Type="http://schemas.openxmlformats.org/officeDocument/2006/relationships/hyperlink" Target="https://www.powerfilmsolar.com/products/rollable-solar-panels/" TargetMode="External"/><Relationship Id="rId402" Type="http://schemas.openxmlformats.org/officeDocument/2006/relationships/hyperlink" Target="https://www.digikey.com/product-detail/en/samsung-electro-mechanics/CL10A105KA8NNNC/1276-1102-2-ND/3886760" TargetMode="External"/><Relationship Id="rId279" Type="http://schemas.openxmlformats.org/officeDocument/2006/relationships/hyperlink" Target="https://patents.google.com/patent/CN202004692U/en" TargetMode="External"/><Relationship Id="rId486" Type="http://schemas.openxmlformats.org/officeDocument/2006/relationships/hyperlink" Target="https://news.energysage.com/best-solar-panel-manufacturers-usa/" TargetMode="External"/><Relationship Id="rId693" Type="http://schemas.openxmlformats.org/officeDocument/2006/relationships/hyperlink" Target="https://www.digikey.com/product-detail/en/cts-resistor-products/73L2R33J/73L2R33J-ND/7311024" TargetMode="External"/><Relationship Id="rId707" Type="http://schemas.openxmlformats.org/officeDocument/2006/relationships/hyperlink" Target="https://www.digikey.com/product-detail/en/on-semiconductor/SZBZX84C3V6LT3G/SZBZX84C3V6LT3GOSTR-ND/3063098" TargetMode="External"/><Relationship Id="rId43" Type="http://schemas.openxmlformats.org/officeDocument/2006/relationships/hyperlink" Target="https://www.nrel.gov/analysis/publications.html" TargetMode="External"/><Relationship Id="rId139" Type="http://schemas.openxmlformats.org/officeDocument/2006/relationships/hyperlink" Target="https://www.vishay.com/docs/88485/smbz59xb.pdf" TargetMode="External"/><Relationship Id="rId346" Type="http://schemas.openxmlformats.org/officeDocument/2006/relationships/hyperlink" Target="https://www.digikey.com/product-detail/en/yageo/CA0612KRX7R8BB103/CA0612KRX7R8BB103-ND/5883039" TargetMode="External"/><Relationship Id="rId553" Type="http://schemas.openxmlformats.org/officeDocument/2006/relationships/hyperlink" Target="https://webench.ti.com/power-designer/" TargetMode="External"/><Relationship Id="rId760" Type="http://schemas.openxmlformats.org/officeDocument/2006/relationships/hyperlink" Target="https://www.infineon.com/cms/en/product/evaluation-boards/kit_xmc_plt2go_xmc4200/" TargetMode="External"/><Relationship Id="rId192" Type="http://schemas.openxmlformats.org/officeDocument/2006/relationships/hyperlink" Target="https://www.digikey.com/product-detail/en/laird-technologies-thermal-materials/A15037-002/926-1488-ND/4259637" TargetMode="External"/><Relationship Id="rId206" Type="http://schemas.openxmlformats.org/officeDocument/2006/relationships/hyperlink" Target="https://www.eleccircuit.com/12-6v-negative-voltage-regulator-using-pnp-emitter-follower/" TargetMode="External"/><Relationship Id="rId413" Type="http://schemas.openxmlformats.org/officeDocument/2006/relationships/hyperlink" Target="https://www.digikey.com/product-detail/en/micro-commercial-co/MMBTA92-TP/MMBTA92-TPTR-ND/819638" TargetMode="External"/><Relationship Id="rId497" Type="http://schemas.openxmlformats.org/officeDocument/2006/relationships/hyperlink" Target="https://www.digikey.com/product-detail/en/cui-inc/PESE1-S5-S12-M-TR/102-6289-2-ND/10229906" TargetMode="External"/><Relationship Id="rId620" Type="http://schemas.openxmlformats.org/officeDocument/2006/relationships/hyperlink" Target="https://www.samsungsem.com/global/support/library/software-library.do" TargetMode="External"/><Relationship Id="rId718" Type="http://schemas.openxmlformats.org/officeDocument/2006/relationships/hyperlink" Target="https://www.digikey.com/product-detail/en/stackpole-electronics-inc/RMCF1206ZG0R00/RMCF1206ZG0R00TR-ND/1756903" TargetMode="External"/><Relationship Id="rId357" Type="http://schemas.openxmlformats.org/officeDocument/2006/relationships/hyperlink" Target="https://www.digikey.com/product-detail/en/rohm-semiconductor/BP5047A24/BP5047A24-ND/658561" TargetMode="External"/><Relationship Id="rId54" Type="http://schemas.openxmlformats.org/officeDocument/2006/relationships/hyperlink" Target="https://www.umasolar.com/wp-content/uploads/2018/10/M215_Installation_Manual_NA.pdf" TargetMode="External"/><Relationship Id="rId96" Type="http://schemas.openxmlformats.org/officeDocument/2006/relationships/hyperlink" Target="https://www.digikey.com/product-detail/en/smc-diode-solutions/STD12100TR/STD12100TRSMC-ND/5993778" TargetMode="External"/><Relationship Id="rId161" Type="http://schemas.openxmlformats.org/officeDocument/2006/relationships/hyperlink" Target="https://www.google.com/search?q=high+side+mosfet+p+channel+gate+driver&amp;rlz=1C1CHBF_enUS816US816&amp;sxsrf=ACYBGNQLQrGMvrsv5671Oa4Zi3-ObunOgg:1577927091455&amp;tbm=isch&amp;source=iu&amp;ictx=1&amp;fir=UL2TrbGHVzgkrM%253A%252CwAPO6DnwMxsFAM%252C_&amp;vet=1&amp;usg=AI4_-kQbHwdrw3cgAgjTjfxsI6L0uKYsuA&amp;sa=X&amp;ved=2ahUKEwjO3JG-3OPmAhVQn-AKHQZ-CSEQ9QEwAnoECAkQDA" TargetMode="External"/><Relationship Id="rId217" Type="http://schemas.openxmlformats.org/officeDocument/2006/relationships/hyperlink" Target="http://www.ti.com/lit/wp/slyy062/slyy062.pdf" TargetMode="External"/><Relationship Id="rId399" Type="http://schemas.openxmlformats.org/officeDocument/2006/relationships/hyperlink" Target="https://www.digikey.com/product-detail/en/samsung-electro-mechanics/CL10B104KB8NNNL/1276-CL10B104KB8NNNLTR-ND/3894274" TargetMode="External"/><Relationship Id="rId564" Type="http://schemas.openxmlformats.org/officeDocument/2006/relationships/hyperlink" Target="http://www.ti.com/lit/an/slva390a/slva390a.pdf" TargetMode="External"/><Relationship Id="rId771" Type="http://schemas.openxmlformats.org/officeDocument/2006/relationships/hyperlink" Target="https://www.digikey.com/product-detail/en/amphenol-icc-fci/D25S33E4GX00LF/609-1511-ND/1001825" TargetMode="External"/><Relationship Id="rId827" Type="http://schemas.openxmlformats.org/officeDocument/2006/relationships/hyperlink" Target="https://www.digikey.com/product-detail/en/samsung-electro-mechanics/CL10C030BB8NNNC/1276-2125-2-ND/3887783" TargetMode="External"/><Relationship Id="rId259" Type="http://schemas.openxmlformats.org/officeDocument/2006/relationships/hyperlink" Target="https://www.digikey.com/product-detail/en/toshiba-semiconductor-and-storage/TPH3R70APLL1Q/264-TPH3R70APLL1QTR-ND/10447109" TargetMode="External"/><Relationship Id="rId424" Type="http://schemas.openxmlformats.org/officeDocument/2006/relationships/hyperlink" Target="https://www.infineon.com/dgdl/Infineon-XMC4000_XMC1000_%20Introduction_to_Digital_Power_Conversion-AN-v01_00-EN.pdf?fileId=5546d4624b0b249c014b497c0c33089e" TargetMode="External"/><Relationship Id="rId466" Type="http://schemas.openxmlformats.org/officeDocument/2006/relationships/hyperlink" Target="https://www.digikey.com/product-detail/en/monolithic-power-systems-inc/MP2459GJ-Z/1589-1895-2-ND/9555319" TargetMode="External"/><Relationship Id="rId631" Type="http://schemas.openxmlformats.org/officeDocument/2006/relationships/hyperlink" Target="https://www.digikey.com/product-detail/en/texas-instruments/LMC6484IMX-NOPB/LMC6484IMX-NOPBTR-ND/334869" TargetMode="External"/><Relationship Id="rId673" Type="http://schemas.openxmlformats.org/officeDocument/2006/relationships/hyperlink" Target="https://www.digikey.com/product-detail/en/toshiba-semiconductor-and-storage/74VHC4052AFT-BJ/74VHC4052AFT-BJ-TR-ND/7394042" TargetMode="External"/><Relationship Id="rId729" Type="http://schemas.openxmlformats.org/officeDocument/2006/relationships/hyperlink" Target="https://www.digikey.com/product-detail/en/kemet/MPCH1055L1R3/399-10973-2-ND/4291039" TargetMode="External"/><Relationship Id="rId23" Type="http://schemas.openxmlformats.org/officeDocument/2006/relationships/hyperlink" Target="https://en.wikipedia.org/wiki/Specific_heat_capacity" TargetMode="External"/><Relationship Id="rId119" Type="http://schemas.openxmlformats.org/officeDocument/2006/relationships/hyperlink" Target="https://www.analog.com/media/en/technical-documentation/tech-articles/lt-journal-article/LTMag-V18N01-10-LTC4357-Lum.pdf" TargetMode="External"/><Relationship Id="rId270" Type="http://schemas.openxmlformats.org/officeDocument/2006/relationships/hyperlink" Target="https://scholar.google.com/scholar?hl=en&amp;as_sdt=0%2C22&amp;as_vis=1&amp;q=solar+optimizer&amp;btnG=" TargetMode="External"/><Relationship Id="rId326" Type="http://schemas.openxmlformats.org/officeDocument/2006/relationships/hyperlink" Target="https://www.digikey.com/product-detail/en/texas-instruments/SN74LVC14APWR/296-1224-2-ND/276867" TargetMode="External"/><Relationship Id="rId533" Type="http://schemas.openxmlformats.org/officeDocument/2006/relationships/hyperlink" Target="https://www.digikey.com/product-detail/en/microchip-technology/MCP3461T-E-NC/MCP3461T-E-NCTR-ND/9947519" TargetMode="External"/><Relationship Id="rId65" Type="http://schemas.openxmlformats.org/officeDocument/2006/relationships/hyperlink" Target="https://www.digikey.com/product-detail/en/panasonic-electronic-components/ERA-3AED103V/P123734TR-ND/9373487" TargetMode="External"/><Relationship Id="rId130" Type="http://schemas.openxmlformats.org/officeDocument/2006/relationships/hyperlink" Target="https://www.digikey.com/products/en/discrete-semiconductor-products/transistors-fets-mosfets-single/278" TargetMode="External"/><Relationship Id="rId368" Type="http://schemas.openxmlformats.org/officeDocument/2006/relationships/hyperlink" Target="https://www.analog.com/media/en/training-seminars/design-handbooks/designers-guide-instrument-amps-complete.pdf" TargetMode="External"/><Relationship Id="rId575" Type="http://schemas.openxmlformats.org/officeDocument/2006/relationships/hyperlink" Target="https://fscdn.rohm.com/en/products/databook/applinote/ic/power/switching_regulator/cera_cap_appli-e.pdf" TargetMode="External"/><Relationship Id="rId740" Type="http://schemas.openxmlformats.org/officeDocument/2006/relationships/hyperlink" Target="https://www.digikey.com/product-detail/en/nexperia-usa-inc/BZX84-B43-215/BZX84-B43-215-ND/1156034" TargetMode="External"/><Relationship Id="rId782" Type="http://schemas.openxmlformats.org/officeDocument/2006/relationships/hyperlink" Target="https://www.nrel.gov/docs/fy19osti/72133.pdf" TargetMode="External"/><Relationship Id="rId172" Type="http://schemas.openxmlformats.org/officeDocument/2006/relationships/hyperlink" Target="https://www.energysage.com/solar/101/microinverters-vs-power-optimizers/" TargetMode="External"/><Relationship Id="rId228" Type="http://schemas.openxmlformats.org/officeDocument/2006/relationships/hyperlink" Target="https://www.tina.com/document/" TargetMode="External"/><Relationship Id="rId435" Type="http://schemas.openxmlformats.org/officeDocument/2006/relationships/hyperlink" Target="https://www.infineon.com/cms/en/search.html" TargetMode="External"/><Relationship Id="rId477" Type="http://schemas.openxmlformats.org/officeDocument/2006/relationships/hyperlink" Target="https://www.diodes.com/assets/Datasheets/DMT10H009SPS.pdf" TargetMode="External"/><Relationship Id="rId600" Type="http://schemas.openxmlformats.org/officeDocument/2006/relationships/hyperlink" Target="https://www.digikey.com/product-detail/en/vishay-siliconix/DG408LEDN-T1-GE4/DG408LEDN-T1-GE4TR-ND/5995260" TargetMode="External"/><Relationship Id="rId642" Type="http://schemas.openxmlformats.org/officeDocument/2006/relationships/hyperlink" Target="https://www.digikey.com/product-detail/en/vishay-siliconix/DG613EEQ-T1-GE4/DG613EEQ-T1-GE4TR-ND/7915454" TargetMode="External"/><Relationship Id="rId684" Type="http://schemas.openxmlformats.org/officeDocument/2006/relationships/hyperlink" Target="https://www.digikey.com/product-detail/en/samsung-electro-mechanics/CL10B105MO8NNWC/1276-6524-2-ND/5961008" TargetMode="External"/><Relationship Id="rId281" Type="http://schemas.openxmlformats.org/officeDocument/2006/relationships/hyperlink" Target="https://www.solarpowerworldonline.com/2019/10/solaredge-sues-huawei-inverter-power-optimizer-patent-infringement/" TargetMode="External"/><Relationship Id="rId337" Type="http://schemas.openxmlformats.org/officeDocument/2006/relationships/hyperlink" Target="https://www.digikey.com/product-detail/en/diodes-incorporated/DMP10H4D2S-7/DMP10H4D2S-7DITR-ND/5699708" TargetMode="External"/><Relationship Id="rId502" Type="http://schemas.openxmlformats.org/officeDocument/2006/relationships/hyperlink" Target="https://www.digikey.com/products/en?keywords=MTSW-150-11-G-D-240" TargetMode="External"/><Relationship Id="rId34" Type="http://schemas.openxmlformats.org/officeDocument/2006/relationships/hyperlink" Target="https://en.wikipedia.org/wiki/Building-integrated_photovoltaics" TargetMode="External"/><Relationship Id="rId76" Type="http://schemas.openxmlformats.org/officeDocument/2006/relationships/hyperlink" Target="https://www.analog.com/en/adm3050e" TargetMode="External"/><Relationship Id="rId141" Type="http://schemas.openxmlformats.org/officeDocument/2006/relationships/hyperlink" Target="https://www.diodes.com/assets/Package-Files/TSSOP-8.pdf" TargetMode="External"/><Relationship Id="rId379" Type="http://schemas.openxmlformats.org/officeDocument/2006/relationships/hyperlink" Target="http://www.ti.com/tool/PMP6813" TargetMode="External"/><Relationship Id="rId544" Type="http://schemas.openxmlformats.org/officeDocument/2006/relationships/hyperlink" Target="https://www.digikey.com/product-detail/en/on-semiconductor/BAS16LT3G/BAS16LT3GOSTR-ND/1475465" TargetMode="External"/><Relationship Id="rId586" Type="http://schemas.openxmlformats.org/officeDocument/2006/relationships/hyperlink" Target="https://www.digikey.com/product-detail/en/texas-instruments/TLV9054IPWR/296-TLV9054IPWRTR-ND/10434682" TargetMode="External"/><Relationship Id="rId751" Type="http://schemas.openxmlformats.org/officeDocument/2006/relationships/hyperlink" Target="https://www.digikey.com/product-detail/en/texas-instruments/TMP302CDRLR/296-46459-2-ND/2232596" TargetMode="External"/><Relationship Id="rId793" Type="http://schemas.openxmlformats.org/officeDocument/2006/relationships/hyperlink" Target="https://www.digikey.com/product-detail/en/susumu/RR0816P-1741-D-24H/RR0816P-1741-D-24H-ND/1250256" TargetMode="External"/><Relationship Id="rId807" Type="http://schemas.openxmlformats.org/officeDocument/2006/relationships/hyperlink" Target="https://www.ti.com/product/LM321LV?qgpn=lm321lv" TargetMode="External"/><Relationship Id="rId7" Type="http://schemas.openxmlformats.org/officeDocument/2006/relationships/hyperlink" Target="https://zeroenergy.com/portfolio/architecture" TargetMode="External"/><Relationship Id="rId183" Type="http://schemas.openxmlformats.org/officeDocument/2006/relationships/hyperlink" Target="https://www.renogy.com/50-watt-12-volt-flexible-monocrystalline-solar-panel/" TargetMode="External"/><Relationship Id="rId239" Type="http://schemas.openxmlformats.org/officeDocument/2006/relationships/hyperlink" Target="http://www.ti.com/lit/df/tidr756/tidr756.pdf" TargetMode="External"/><Relationship Id="rId390" Type="http://schemas.openxmlformats.org/officeDocument/2006/relationships/hyperlink" Target="https://www.digikey.com/product-detail/en/monolithic-power-systems-inc/MPM3805GQB-33-Z/1589-1986-2-ND/5292918" TargetMode="External"/><Relationship Id="rId404" Type="http://schemas.openxmlformats.org/officeDocument/2006/relationships/hyperlink" Target="https://www.digikey.com/product-detail/en/nxp-usa-inc/TJA1057GTJ/568-13280-2-ND/4843407" TargetMode="External"/><Relationship Id="rId446" Type="http://schemas.openxmlformats.org/officeDocument/2006/relationships/hyperlink" Target="https://www.infineon.com/dgdl/Infineon-IP_CCU8_XMC-TR-v01_02-EN.pdf?fileId=5546d4624ad04ef9014b0780b3482262" TargetMode="External"/><Relationship Id="rId611" Type="http://schemas.openxmlformats.org/officeDocument/2006/relationships/hyperlink" Target="https://www.digikey.com/product-detail/en/texas-instruments/LP2985AIM5X-4-5-NOPB/296-37596-2-ND/1872514" TargetMode="External"/><Relationship Id="rId653" Type="http://schemas.openxmlformats.org/officeDocument/2006/relationships/hyperlink" Target="https://news.energysage.com/solar-panels-hail-hurricanes/" TargetMode="External"/><Relationship Id="rId250" Type="http://schemas.openxmlformats.org/officeDocument/2006/relationships/hyperlink" Target="http://www.ti.com/lit/df/tidrj26a/tidrj26a.pdf" TargetMode="External"/><Relationship Id="rId292" Type="http://schemas.openxmlformats.org/officeDocument/2006/relationships/hyperlink" Target="https://www.electronicdesign.com/power-management/article/21798171/fundamentals-of-buck-converter-efficiency" TargetMode="External"/><Relationship Id="rId306" Type="http://schemas.openxmlformats.org/officeDocument/2006/relationships/hyperlink" Target="http://www.ti.com/lit/an/slva527/slva527.pdf" TargetMode="External"/><Relationship Id="rId488" Type="http://schemas.openxmlformats.org/officeDocument/2006/relationships/hyperlink" Target="https://www.sunfolding.com/" TargetMode="External"/><Relationship Id="rId695" Type="http://schemas.openxmlformats.org/officeDocument/2006/relationships/hyperlink" Target="https://www.digikey.com/product-detail/en/kemet/C0603C101K1HAC7867/C0603C101K1HAC7867-ND/7946921" TargetMode="External"/><Relationship Id="rId709" Type="http://schemas.openxmlformats.org/officeDocument/2006/relationships/hyperlink" Target="https://www.digikey.com/product-detail/en/nexperia-usa-inc/BAV99-235/1727-4311-2-ND/1232158" TargetMode="External"/><Relationship Id="rId45" Type="http://schemas.openxmlformats.org/officeDocument/2006/relationships/hyperlink" Target="https://www.nrel.gov/about/bill-tumas.html" TargetMode="External"/><Relationship Id="rId87" Type="http://schemas.openxmlformats.org/officeDocument/2006/relationships/hyperlink" Target="http://www.ti.com/product/INA290-Q1?keyMatch=INA290&amp;tisearch=Search-EN-everything" TargetMode="External"/><Relationship Id="rId110" Type="http://schemas.openxmlformats.org/officeDocument/2006/relationships/hyperlink" Target="https://www.digikey.com/product-detail/en/samsung-electro-mechanics/CL21B106KPQNNWE/1276-CL21B106KPQNNWETR-ND/10479841" TargetMode="External"/><Relationship Id="rId348" Type="http://schemas.openxmlformats.org/officeDocument/2006/relationships/hyperlink" Target="https://www.digikey.com/product-detail/en/samsung-electro-mechanics/CL21A475KLCLQNC/1276-6722-2-ND/5961206" TargetMode="External"/><Relationship Id="rId513" Type="http://schemas.openxmlformats.org/officeDocument/2006/relationships/hyperlink" Target="https://www.diodes.com/assets/Datasheets/LMV321_358.pdf" TargetMode="External"/><Relationship Id="rId555" Type="http://schemas.openxmlformats.org/officeDocument/2006/relationships/hyperlink" Target="https://www.infineon.com/cms/en/tools/landing/ifxdesigner.html" TargetMode="External"/><Relationship Id="rId597" Type="http://schemas.openxmlformats.org/officeDocument/2006/relationships/hyperlink" Target="https://e2e.ti.com/blogs_/b/analogwire/archive/2017/08/01/do-it-yourself-three-ways-to-stabilize-op-amp-capacitive-loads" TargetMode="External"/><Relationship Id="rId720" Type="http://schemas.openxmlformats.org/officeDocument/2006/relationships/hyperlink" Target="https://assets.nexperia.com/documents/package-information/SOD123W.pdf" TargetMode="External"/><Relationship Id="rId762" Type="http://schemas.openxmlformats.org/officeDocument/2006/relationships/hyperlink" Target="http://www.latticesemi.com/en/Products/DevelopmentBoardsAndKits/MachXO3LStarterKit" TargetMode="External"/><Relationship Id="rId818" Type="http://schemas.openxmlformats.org/officeDocument/2006/relationships/hyperlink" Target="https://docs.google.com/spreadsheets/d/19KGhU5Li8gmt0d7b2DLixzUuKwI4GNSobysC2w3LoSQ/edit?ts=5ed575bd" TargetMode="External"/><Relationship Id="rId152" Type="http://schemas.openxmlformats.org/officeDocument/2006/relationships/hyperlink" Target="https://engineering.purdue.edu/Courses/ECE433/exp5_5th~6thweek_.pdf" TargetMode="External"/><Relationship Id="rId194" Type="http://schemas.openxmlformats.org/officeDocument/2006/relationships/hyperlink" Target="https://www.maximintegrated.com/en/design/technical-documents/tutorials/1/1051.html" TargetMode="External"/><Relationship Id="rId208" Type="http://schemas.openxmlformats.org/officeDocument/2006/relationships/hyperlink" Target="http://www.ti.com/product/LM5122/technicaldocuments" TargetMode="External"/><Relationship Id="rId415" Type="http://schemas.openxmlformats.org/officeDocument/2006/relationships/hyperlink" Target="https://www.digikey.com/product-detail/en/on-semiconductor/BAS21TMR6T1G/BAS21TMR6T1GOSTR-ND/4847539" TargetMode="External"/><Relationship Id="rId457" Type="http://schemas.openxmlformats.org/officeDocument/2006/relationships/hyperlink" Target="http://www.latticesemi.com/en/Products/DesignSoftwareAndIP/IntellectualProperty/ReferenceDesigns/ReferenceDesign03/SPIPeripheral" TargetMode="External"/><Relationship Id="rId622" Type="http://schemas.openxmlformats.org/officeDocument/2006/relationships/hyperlink" Target="https://www.digikey.com/product-detail/en/texas-instruments/LM2665M6X-NOPB/LM2665M6X-NOPBTR-ND/366883" TargetMode="External"/><Relationship Id="rId261" Type="http://schemas.openxmlformats.org/officeDocument/2006/relationships/hyperlink" Target="http://sim.okawa-denshi.jp/en/Fkeisan.htm" TargetMode="External"/><Relationship Id="rId499" Type="http://schemas.openxmlformats.org/officeDocument/2006/relationships/hyperlink" Target="https://www.digikey.com/product-detail/en/cui-inc/PESE1-S5-S5-M-TR/102-6288-2-ND/10229905" TargetMode="External"/><Relationship Id="rId664" Type="http://schemas.openxmlformats.org/officeDocument/2006/relationships/hyperlink" Target="https://www.digikey.com/product-detail/en/texas-instruments/OPA388IDR/296-45348-2-ND/6590821" TargetMode="External"/><Relationship Id="rId14" Type="http://schemas.openxmlformats.org/officeDocument/2006/relationships/hyperlink" Target="https://en.wikipedia.org/wiki/Seasonal_thermal_energy_storage" TargetMode="External"/><Relationship Id="rId56" Type="http://schemas.openxmlformats.org/officeDocument/2006/relationships/hyperlink" Target="https://www.energy.gov/eere/about-us/leadership" TargetMode="External"/><Relationship Id="rId317" Type="http://schemas.openxmlformats.org/officeDocument/2006/relationships/hyperlink" Target="https://www.digikey.com/product-detail/en/diodes-incorporated/DMT10H009SPS-13/DMT10H009SPS-13DI-ND/10295343" TargetMode="External"/><Relationship Id="rId359" Type="http://schemas.openxmlformats.org/officeDocument/2006/relationships/hyperlink" Target="https://www.digikey.com/product-detail/en/texas-instruments/INA332AIDGKR/296-41265-2-ND/1509895" TargetMode="External"/><Relationship Id="rId524" Type="http://schemas.openxmlformats.org/officeDocument/2006/relationships/hyperlink" Target="http://clareweb1.ixysic.com/Products/IGBT-MOSFETDvr.htm" TargetMode="External"/><Relationship Id="rId566" Type="http://schemas.openxmlformats.org/officeDocument/2006/relationships/hyperlink" Target="https://fscdn.rohm.com/en/products/databook/applinote/ic/power/input-filter-for-dcdc-converter_an-e.pdf" TargetMode="External"/><Relationship Id="rId731" Type="http://schemas.openxmlformats.org/officeDocument/2006/relationships/hyperlink" Target="https://www.digikey.com/product-detail/en/diodes-incorporated/DMN6075S-13/DMN6075S-13DI-ND/5149391" TargetMode="External"/><Relationship Id="rId773" Type="http://schemas.openxmlformats.org/officeDocument/2006/relationships/hyperlink" Target="https://www.analog.com/media/en/technical-documentation/data-sheets/ltc4359.pdf" TargetMode="External"/><Relationship Id="rId98" Type="http://schemas.openxmlformats.org/officeDocument/2006/relationships/hyperlink" Target="https://www.digikey.com/product-detail/en/vishay-semiconductor-diodes-division/V30100SG-M3-4W/V30100SG-M3-4W-ND/4875153" TargetMode="External"/><Relationship Id="rId121" Type="http://schemas.openxmlformats.org/officeDocument/2006/relationships/hyperlink" Target="https://www.digikey.com/product-detail/en/taiyo-yuden/NRH2410T6R8MN/587-2391-2-ND/2178910" TargetMode="External"/><Relationship Id="rId163" Type="http://schemas.openxmlformats.org/officeDocument/2006/relationships/hyperlink" Target="https://www.edn.com/power-tips-94-how-an-upside-down-buck-offers-a-topology-alternative-to-the-non-isolated-flyback/" TargetMode="External"/><Relationship Id="rId219" Type="http://schemas.openxmlformats.org/officeDocument/2006/relationships/hyperlink" Target="https://www.digikey.com/product-detail/en/diodes-incorporated/DGD2190MS8-13/DGD2190MS8-13-ND/7666817" TargetMode="External"/><Relationship Id="rId370" Type="http://schemas.openxmlformats.org/officeDocument/2006/relationships/hyperlink" Target="https://www.youspice.com/importing-subckt-pspice-netlist-into-tina/" TargetMode="External"/><Relationship Id="rId426" Type="http://schemas.openxmlformats.org/officeDocument/2006/relationships/hyperlink" Target="https://www.mouser.com/datasheet/2/196/Board_Users_Manual_CPU_Board_XMC4400_General_Purpo-597346.pdf" TargetMode="External"/><Relationship Id="rId633" Type="http://schemas.openxmlformats.org/officeDocument/2006/relationships/hyperlink" Target="https://www.digikey.com/products/en/integrated-circuits-ics/linear-amplifiers-instrumentation-op-amps-buffer-amps/687?k=OPA4314A&amp;k=&amp;pkeyword=OPA4314A&amp;sv=0&amp;pv7=1&amp;pv2094=i4&amp;sf=0&amp;quantity=&amp;ColumnSort=0&amp;page=1&amp;pageSize=25" TargetMode="External"/><Relationship Id="rId829" Type="http://schemas.openxmlformats.org/officeDocument/2006/relationships/drawing" Target="../drawings/drawing1.xml"/><Relationship Id="rId230" Type="http://schemas.openxmlformats.org/officeDocument/2006/relationships/hyperlink" Target="https://www.tina.com/docs/v12/Tina-v12-manual.pdf" TargetMode="External"/><Relationship Id="rId468" Type="http://schemas.openxmlformats.org/officeDocument/2006/relationships/hyperlink" Target="https://www.digikey.com/product-detail/en/lattice-semiconductor-corporation/LCMXO3LF-6900C-S-EVN/220-2069-ND/5395903" TargetMode="External"/><Relationship Id="rId675" Type="http://schemas.openxmlformats.org/officeDocument/2006/relationships/hyperlink" Target="https://www.digikey.com/product-detail/en/toshiba-semiconductor-and-storage/74VHC4053AFT/74VHC4053AFTTR-ND/4780918" TargetMode="External"/><Relationship Id="rId25" Type="http://schemas.openxmlformats.org/officeDocument/2006/relationships/hyperlink" Target="https://www.eia.gov/outlooks/aeo/pdf/electricity_generation.pdf" TargetMode="External"/><Relationship Id="rId67" Type="http://schemas.openxmlformats.org/officeDocument/2006/relationships/hyperlink" Target="https://www.digikey.com/product-detail/en/on-semiconductor/NLAST4051DTR2G/NLAST4051DTR2GOSTR-ND/920174" TargetMode="External"/><Relationship Id="rId272" Type="http://schemas.openxmlformats.org/officeDocument/2006/relationships/hyperlink" Target="https://s3.amazonaws.com/academia.edu.documents/43830294/Micro-invertersPromising_solutions_in_so20160317-12140-1wk0s9h.pdf?response-content-disposition=inline%3B%20filename%3DMicro-inverters_Promising_solutions_in_s.pdf&amp;X-Amz-Algorithm=AWS4-HMAC-SHA256&amp;X-Amz-Credential=AKIAIWOWYYGZ2Y53UL3A%2F20200112%2Fus-east-1%2Fs3%2Faws4_request&amp;X-Amz-Date=20200112T223915Z&amp;X-Amz-Expires=3600&amp;X-Amz-SignedHeaders=host&amp;X-Amz-Signature=521fa35f5b602e752a49326a6af1184c5803eb00ebe69cd05eb22db1c718d75b" TargetMode="External"/><Relationship Id="rId328" Type="http://schemas.openxmlformats.org/officeDocument/2006/relationships/hyperlink" Target="https://para.maximintegrated.com/en/results.mvp?fam=chargepumps" TargetMode="External"/><Relationship Id="rId535" Type="http://schemas.openxmlformats.org/officeDocument/2006/relationships/hyperlink" Target="https://www.digikey.com/product-detail/en/linear-technology-analog-devices/LTC2450CDC-TRPBF/LTC2450CDC-TRPBF-ND/1745777" TargetMode="External"/><Relationship Id="rId577" Type="http://schemas.openxmlformats.org/officeDocument/2006/relationships/hyperlink" Target="https://fscdn.rohm.com/en/products/databook/applinote/ic/power/input-filter-for-dcdc-converter_an-e.pdf" TargetMode="External"/><Relationship Id="rId700" Type="http://schemas.openxmlformats.org/officeDocument/2006/relationships/hyperlink" Target="https://www.digikey.com/product-detail/en/cts-resistor-products/73L2R33J/73L2R33J-ND/7311024" TargetMode="External"/><Relationship Id="rId742" Type="http://schemas.openxmlformats.org/officeDocument/2006/relationships/hyperlink" Target="https://www.digikey.com/product-detail/en/stackpole-electronics-inc/RMCF0805FG100K/RMCF0805FG100KTR-ND/1712614" TargetMode="External"/><Relationship Id="rId132" Type="http://schemas.openxmlformats.org/officeDocument/2006/relationships/hyperlink" Target="http://focus.ti.com/lit/ml/mtss001c/mtss001c.pdf" TargetMode="External"/><Relationship Id="rId174" Type="http://schemas.openxmlformats.org/officeDocument/2006/relationships/hyperlink" Target="https://instylesolar.com/blog/2018/02/12/product-review-solaredge-dc-optimizers/" TargetMode="External"/><Relationship Id="rId381" Type="http://schemas.openxmlformats.org/officeDocument/2006/relationships/hyperlink" Target="http://www.ti.com/tool/PMP4440" TargetMode="External"/><Relationship Id="rId602" Type="http://schemas.openxmlformats.org/officeDocument/2006/relationships/hyperlink" Target="https://www.digikey.com/product-detail/en/riedon/CSRL3-0R0005F8/696-1832-2-ND/9666047" TargetMode="External"/><Relationship Id="rId784" Type="http://schemas.openxmlformats.org/officeDocument/2006/relationships/hyperlink" Target="https://www.nrel.gov/docs/fy18osti/70748.pdf" TargetMode="External"/><Relationship Id="rId241" Type="http://schemas.openxmlformats.org/officeDocument/2006/relationships/hyperlink" Target="http://www.ti.com/lit/ug/tidu400/tidu400.pdf" TargetMode="External"/><Relationship Id="rId437" Type="http://schemas.openxmlformats.org/officeDocument/2006/relationships/hyperlink" Target="https://www.infineon.com/dgdl/Infineon-XMC_Digital_Power_Explorer_Kit-PB-v01_00-EN.pdf?fileId=5546d4624cb7f111014d567253657a33" TargetMode="External"/><Relationship Id="rId479" Type="http://schemas.openxmlformats.org/officeDocument/2006/relationships/hyperlink" Target="https://www.diodes.com/assets/Datasheets/DGD2190M.pdf" TargetMode="External"/><Relationship Id="rId644" Type="http://schemas.openxmlformats.org/officeDocument/2006/relationships/hyperlink" Target="https://www.digikey.com/product-detail/en/susumu/RG2012P-225-B-T5/408-2027-2-ND/7035371" TargetMode="External"/><Relationship Id="rId686" Type="http://schemas.openxmlformats.org/officeDocument/2006/relationships/hyperlink" Target="https://www.digikey.com/product-detail/en/samsung-electro-mechanics/CL10B104KA8NNNC/1276-1006-2-ND/3886664" TargetMode="External"/><Relationship Id="rId36" Type="http://schemas.openxmlformats.org/officeDocument/2006/relationships/hyperlink" Target="https://www.nrel.gov/docs/fy12osti/53103.pdf" TargetMode="External"/><Relationship Id="rId283" Type="http://schemas.openxmlformats.org/officeDocument/2006/relationships/hyperlink" Target="https://enphase.com/en-us/company/patents" TargetMode="External"/><Relationship Id="rId339" Type="http://schemas.openxmlformats.org/officeDocument/2006/relationships/hyperlink" Target="http://www.ti.com/lit/an/slua468/slua468.pdf" TargetMode="External"/><Relationship Id="rId490" Type="http://schemas.openxmlformats.org/officeDocument/2006/relationships/hyperlink" Target="https://www.statista.com/statistics/201794/us-electricity-consumption-since-1975/" TargetMode="External"/><Relationship Id="rId504" Type="http://schemas.openxmlformats.org/officeDocument/2006/relationships/hyperlink" Target="https://www.digikey.com/product-detail/en/samtec-inc/SSQ-150-03-G-S/SAM1198-50-ND/1111511" TargetMode="External"/><Relationship Id="rId546" Type="http://schemas.openxmlformats.org/officeDocument/2006/relationships/hyperlink" Target="https://www.digikey.com/product-detail/en/diodes-incorporated/DGD2012S8-13/DGD2012S8-13DITR-ND/9765727" TargetMode="External"/><Relationship Id="rId711" Type="http://schemas.openxmlformats.org/officeDocument/2006/relationships/hyperlink" Target="https://www.digikey.com/product-detail/en/analog-devices-inc/ADM3050EBRIZ-RL/505-ADM3050EBRIZ-RLTR-ND/10659626" TargetMode="External"/><Relationship Id="rId753" Type="http://schemas.openxmlformats.org/officeDocument/2006/relationships/hyperlink" Target="https://www.digikey.com/product-detail/en/murata-electronics/NCU15XH103F60RC/490-18149-2-ND/9686714" TargetMode="External"/><Relationship Id="rId78" Type="http://schemas.openxmlformats.org/officeDocument/2006/relationships/hyperlink" Target="https://www.digikey.com/product-detail/en/texas-instruments/LMV793MFX-NOPB/296-44191-2-ND/1872392" TargetMode="External"/><Relationship Id="rId101" Type="http://schemas.openxmlformats.org/officeDocument/2006/relationships/hyperlink" Target="https://www.digikey.com/product-detail/en/samsung-electro-mechanics/CL32B225KCJSNNF/1276-CL32B225KCJSNNFTR-ND/10480140" TargetMode="External"/><Relationship Id="rId143" Type="http://schemas.openxmlformats.org/officeDocument/2006/relationships/hyperlink" Target="https://www.infineon.com/cms/en/product/packages/" TargetMode="External"/><Relationship Id="rId185" Type="http://schemas.openxmlformats.org/officeDocument/2006/relationships/hyperlink" Target="https://www.thefabricator.com/thefabricator/article/bending/how-to-calculate-the-air-formed-radius-of-different-bend-angles" TargetMode="External"/><Relationship Id="rId350" Type="http://schemas.openxmlformats.org/officeDocument/2006/relationships/hyperlink" Target="https://www.digikey.in/product-detail/en/samsung-electro-mechanics/CIG22L3R3MNE/1276-6212-2-ND/3971868" TargetMode="External"/><Relationship Id="rId406" Type="http://schemas.openxmlformats.org/officeDocument/2006/relationships/hyperlink" Target="https://media.digikey.com/pdf/Data%20Sheets/Lite-On%20PDFs/LTV-816_826_846.pdf" TargetMode="External"/><Relationship Id="rId588" Type="http://schemas.openxmlformats.org/officeDocument/2006/relationships/hyperlink" Target="https://www.digikey.com/product-detail/en/nexperia-usa-inc/74LV4066PW-118/1727-6665-2-ND/1231223" TargetMode="External"/><Relationship Id="rId795" Type="http://schemas.openxmlformats.org/officeDocument/2006/relationships/hyperlink" Target="https://www.digikey.com/product-detail/en/susumu/RR0816P-5361-D-71H/RR08P5-36KDTR-ND/676163" TargetMode="External"/><Relationship Id="rId809" Type="http://schemas.openxmlformats.org/officeDocument/2006/relationships/hyperlink" Target="https://www.digikey.com/product-detail/en/micro-commercial-co/MMBTA92-TP/MMBTA92-TPTR-ND/819638" TargetMode="External"/><Relationship Id="rId9" Type="http://schemas.openxmlformats.org/officeDocument/2006/relationships/hyperlink" Target="https://www.insulfoam.com/wp-content/uploads/2017/08/104-AIA-EPS-XPS_17.pdf" TargetMode="External"/><Relationship Id="rId210" Type="http://schemas.openxmlformats.org/officeDocument/2006/relationships/hyperlink" Target="https://www.petervis.com/electronics%20guides/voltage-regulator-using-transistor/voltage-regulator-using-transistor.html" TargetMode="External"/><Relationship Id="rId392" Type="http://schemas.openxmlformats.org/officeDocument/2006/relationships/hyperlink" Target="https://www.digikey.com/product-detail/en/samsung-electro-mechanics/CIG22L2R2MNE/1276-6211-2-ND/3971867" TargetMode="External"/><Relationship Id="rId448" Type="http://schemas.openxmlformats.org/officeDocument/2006/relationships/hyperlink" Target="https://www.infineon.com/dgdl/Infineon-IP_DAC_XMC4-TR-v01_01-EN.pdf?fileId=5546d4624ad04ef9014b07777ae2225f" TargetMode="External"/><Relationship Id="rId613" Type="http://schemas.openxmlformats.org/officeDocument/2006/relationships/hyperlink" Target="https://www.digikey.com/product-detail/en/taiyo-yuden/NR6028T330M/587-2631-2-ND/2349960" TargetMode="External"/><Relationship Id="rId655" Type="http://schemas.openxmlformats.org/officeDocument/2006/relationships/hyperlink" Target="https://webstore.iec.ch/publication/4928" TargetMode="External"/><Relationship Id="rId697" Type="http://schemas.openxmlformats.org/officeDocument/2006/relationships/hyperlink" Target="https://www.digikey.com/product-detail/en/kemet/C0603C222K1RACTU/399-7880-2-ND/2200255" TargetMode="External"/><Relationship Id="rId820" Type="http://schemas.openxmlformats.org/officeDocument/2006/relationships/hyperlink" Target="https://www.digikey.com/product-detail/en/on-semiconductor/BAS21LT3G/BAS21LT3GOSTR-ND/1475480" TargetMode="External"/><Relationship Id="rId252" Type="http://schemas.openxmlformats.org/officeDocument/2006/relationships/hyperlink" Target="http://www.ti.com/product/LM5088-Q1/toolssoftware" TargetMode="External"/><Relationship Id="rId294" Type="http://schemas.openxmlformats.org/officeDocument/2006/relationships/hyperlink" Target="https://www.pv-magazine.com/news/" TargetMode="External"/><Relationship Id="rId308" Type="http://schemas.openxmlformats.org/officeDocument/2006/relationships/hyperlink" Target="https://www.nexperia.com/products/diodes/automotive-diodes/automotive-schottky-diodes-and-rectifiers/automotive-medium-power-low-vf-schottky-rectifiers-single-200-ma/PMEG10010ELR.html" TargetMode="External"/><Relationship Id="rId515" Type="http://schemas.openxmlformats.org/officeDocument/2006/relationships/hyperlink" Target="http://www.ti.com/lit/ds/symlink/opa2348.pdf" TargetMode="External"/><Relationship Id="rId722" Type="http://schemas.openxmlformats.org/officeDocument/2006/relationships/hyperlink" Target="https://www.digikey.com/product-detail/en/samsung-electro-mechanics/CL10B472KB8NFNC/1276-2064-2-ND/3887722" TargetMode="External"/><Relationship Id="rId47" Type="http://schemas.openxmlformats.org/officeDocument/2006/relationships/hyperlink" Target="https://us.sunpower.com/products/solar-panels" TargetMode="External"/><Relationship Id="rId89" Type="http://schemas.openxmlformats.org/officeDocument/2006/relationships/hyperlink" Target="http://www.ti.com/lit/ds/symlink/ina290-q1.pdf" TargetMode="External"/><Relationship Id="rId112" Type="http://schemas.openxmlformats.org/officeDocument/2006/relationships/hyperlink" Target="https://www.digikey.com/product-detail/en/samsung-electro-mechanics/CL32B475KCVZNWE/1276-CL32B475KCVZNWETR-ND/10480138" TargetMode="External"/><Relationship Id="rId154" Type="http://schemas.openxmlformats.org/officeDocument/2006/relationships/hyperlink" Target="https://www.digikey.com/product-detail/en/texas-instruments/LM2765M6X-NOPB/LM2765M6X-NOPBTR-ND/366935" TargetMode="External"/><Relationship Id="rId361" Type="http://schemas.openxmlformats.org/officeDocument/2006/relationships/hyperlink" Target="https://www.digikey.com/product-detail/en/texas-instruments/INA826AIDGKR/296-29663-2-ND/2762216" TargetMode="External"/><Relationship Id="rId557" Type="http://schemas.openxmlformats.org/officeDocument/2006/relationships/hyperlink" Target="http://clareweb1.ixysic.com/Products/IGBT-MOSFETDvr.htm" TargetMode="External"/><Relationship Id="rId599" Type="http://schemas.openxmlformats.org/officeDocument/2006/relationships/hyperlink" Target="https://www.digikey.com/product-detail/en/nxp-usa-inc/NX3L4051PW-118/568-12393-2-ND/3679433" TargetMode="External"/><Relationship Id="rId764" Type="http://schemas.openxmlformats.org/officeDocument/2006/relationships/hyperlink" Target="http://www.latticesemi.com/en/Products/DevelopmentBoardsAndKits/MachXO3LStarterKit" TargetMode="External"/><Relationship Id="rId196" Type="http://schemas.openxmlformats.org/officeDocument/2006/relationships/hyperlink" Target="https://www.diodes.com/products/power-management/gate-drivers/" TargetMode="External"/><Relationship Id="rId417" Type="http://schemas.openxmlformats.org/officeDocument/2006/relationships/hyperlink" Target="https://www.digikey.com/product-detail/en/diodes-incorporated/BC847BS-7-F/BC847BS-7FDITR-ND/1934453" TargetMode="External"/><Relationship Id="rId459" Type="http://schemas.openxmlformats.org/officeDocument/2006/relationships/hyperlink" Target="https://www.youtube.com/user/latticesemiconductor/search?query=diamond" TargetMode="External"/><Relationship Id="rId624" Type="http://schemas.openxmlformats.org/officeDocument/2006/relationships/hyperlink" Target="https://www.digikey.com/product-detail/en/texas-instruments/TLV9004IPWR/296-51827-2-ND/9674912" TargetMode="External"/><Relationship Id="rId666" Type="http://schemas.openxmlformats.org/officeDocument/2006/relationships/hyperlink" Target="https://www.digikey.com/product-detail/en/stmicroelectronics/TLVH431BIL3T/497-TLVH431BIL3TTR-ND/3516447" TargetMode="External"/><Relationship Id="rId16" Type="http://schemas.openxmlformats.org/officeDocument/2006/relationships/hyperlink" Target="http://zero-energyplans.com/wp-content/uploads/BA_ZEH_CliftonViewHome_Leganza_TG-11-14-14-1.pdf" TargetMode="External"/><Relationship Id="rId221" Type="http://schemas.openxmlformats.org/officeDocument/2006/relationships/hyperlink" Target="http://www.ti.com/lit/ds/symlink/lm5116.pdf" TargetMode="External"/><Relationship Id="rId263" Type="http://schemas.openxmlformats.org/officeDocument/2006/relationships/hyperlink" Target="http://www.ti.com/lit/an/snva801/snva801.pdf" TargetMode="External"/><Relationship Id="rId319" Type="http://schemas.openxmlformats.org/officeDocument/2006/relationships/hyperlink" Target="https://www.diodes.com/assets/Datasheets/DMT10H009SPS.pdf" TargetMode="External"/><Relationship Id="rId470" Type="http://schemas.openxmlformats.org/officeDocument/2006/relationships/hyperlink" Target="http://www.latticesemi.com/Products/DevelopmentBoardsAndKits.aspx?&amp;sk=Default&amp;s=%7e_d0!2!1!!1!7!0!1!!2!!!0!1!3!2!_d2!9!sbf!_d6!fil!DrtrxrtrzqEqypvspFpHpqGqypxpApwpqBqypxpvspwpxpCpvspwpwpqqrzqqqrur!MachXO3+Boards!MachXO3!_d0!4!%40sitecoreorder!fvf%7c%40productitemnames!_d8!_d1!!yqbqtGpHpxpvppupvpupwpupxppwpppupvpKpLpIpJpFpBpCpzpApEppDpqyprpqsq!&amp;sg=1730e3a5-0ead-4eb9-89a6-f49837cf55fa" TargetMode="External"/><Relationship Id="rId526" Type="http://schemas.openxmlformats.org/officeDocument/2006/relationships/hyperlink" Target="https://www.digikey.com/product-detail/en/diodes-incorporated/DMG2302UK-13/DMG2302UK-13-ND/6187259" TargetMode="External"/><Relationship Id="rId58" Type="http://schemas.openxmlformats.org/officeDocument/2006/relationships/hyperlink" Target="https://www.wbur.org/news/2019/01/04/massachusetts-emissions-2016-transportation" TargetMode="External"/><Relationship Id="rId123" Type="http://schemas.openxmlformats.org/officeDocument/2006/relationships/hyperlink" Target="https://www.digikey.com/product-detail/en/stmicroelectronics/STB45N40DM2AG/497-16133-2-ND/5724375" TargetMode="External"/><Relationship Id="rId330" Type="http://schemas.openxmlformats.org/officeDocument/2006/relationships/hyperlink" Target="https://www.onsemi.com/pub/Collateral/EVBUM2574-D.PDF" TargetMode="External"/><Relationship Id="rId568" Type="http://schemas.openxmlformats.org/officeDocument/2006/relationships/hyperlink" Target="https://fscdn.rohm.com/en/products/databook/applinote/ic/power/switching_regulator/converter_pcb_layout_appli-e.pdf" TargetMode="External"/><Relationship Id="rId733" Type="http://schemas.openxmlformats.org/officeDocument/2006/relationships/hyperlink" Target="https://www.digikey.com/product-detail/en/diodes-incorporated/DMC3400SDW-13/DMC3400SDW-13DITR-ND/5223303" TargetMode="External"/><Relationship Id="rId775" Type="http://schemas.openxmlformats.org/officeDocument/2006/relationships/hyperlink" Target="http://www.ti.com/lit/ds/symlink/tlv1805-q1.pdf?HQS=TI-null-null-digikeymode-df-pf-null-wwe&amp;ts=1591463085917&amp;ref_url=http://www.ti.com/general/docs/suppproductinfo.tsp?distId%3D10&amp;gotoUrl=http://www.ti.com/lit/gpn/tlv1805-q1" TargetMode="External"/><Relationship Id="rId165" Type="http://schemas.openxmlformats.org/officeDocument/2006/relationships/hyperlink" Target="https://sparks.gogo.co.nz/capacitor-formulae.html" TargetMode="External"/><Relationship Id="rId372" Type="http://schemas.openxmlformats.org/officeDocument/2006/relationships/hyperlink" Target="https://www.analog.com/media/en/training-seminars/design-handbooks/designers-guide-instrument-amps-complete.pdf" TargetMode="External"/><Relationship Id="rId428" Type="http://schemas.openxmlformats.org/officeDocument/2006/relationships/hyperlink" Target="https://www.arrow.com/en/products/kit-xmc42-ee1-001/infineon-technologies-ag" TargetMode="External"/><Relationship Id="rId635" Type="http://schemas.openxmlformats.org/officeDocument/2006/relationships/hyperlink" Target="https://www.digikey.com/product-detail/en/on-semiconductor/NCS2333DR2G/NCS2333DR2GOSTR-ND/6560609" TargetMode="External"/><Relationship Id="rId677" Type="http://schemas.openxmlformats.org/officeDocument/2006/relationships/hyperlink" Target="https://www.digikey.com/product-detail/en/samsung-electro-mechanics/CL21B106KPQNNWE/1276-CL21B106KPQNNWETR-ND/10479841" TargetMode="External"/><Relationship Id="rId800" Type="http://schemas.openxmlformats.org/officeDocument/2006/relationships/hyperlink" Target="https://techdocs.altium.com/display/ADOH/Download+Libraries" TargetMode="External"/><Relationship Id="rId232" Type="http://schemas.openxmlformats.org/officeDocument/2006/relationships/hyperlink" Target="http://www.ti.com/lit/sg/slyb194d/slyb194d.pdf" TargetMode="External"/><Relationship Id="rId274" Type="http://schemas.openxmlformats.org/officeDocument/2006/relationships/hyperlink" Target="https://patentimages.storage.googleapis.com/6d/4e/9f/eeb426bb270631/US9253935.pdf" TargetMode="External"/><Relationship Id="rId481" Type="http://schemas.openxmlformats.org/officeDocument/2006/relationships/hyperlink" Target="https://www.youtube.com/watch?v=DksYJqtNcX8" TargetMode="External"/><Relationship Id="rId702" Type="http://schemas.openxmlformats.org/officeDocument/2006/relationships/hyperlink" Target="https://www.digikey.com/product-detail/en/texas-instruments/LM76003RNPR/296-49740-2-ND/8105944" TargetMode="External"/><Relationship Id="rId27" Type="http://schemas.openxmlformats.org/officeDocument/2006/relationships/hyperlink" Target="https://www.msn.com/en-us/money/generalmoney/what-us-land-is-really-worth-state-by-state/ar-BBkTfZS?ocid=sf" TargetMode="External"/><Relationship Id="rId69" Type="http://schemas.openxmlformats.org/officeDocument/2006/relationships/hyperlink" Target="https://www.digikey.com/product-detail/en/vishay-siliconix/DG4051EEQ-T1-GE3/DG4051EEQ-T1-GE3TR-ND/5994104" TargetMode="External"/><Relationship Id="rId134" Type="http://schemas.openxmlformats.org/officeDocument/2006/relationships/hyperlink" Target="http://focus.ti.com/lit/an/sbfa015a/sbfa015a.pdf" TargetMode="External"/><Relationship Id="rId537" Type="http://schemas.openxmlformats.org/officeDocument/2006/relationships/hyperlink" Target="https://www.digikey.com/product-detail/en/stmicroelectronics/L6491DTR/497-19274-2-ND/7312894" TargetMode="External"/><Relationship Id="rId579" Type="http://schemas.openxmlformats.org/officeDocument/2006/relationships/hyperlink" Target="http://www.ti.com/lit/ds/snvsb32a/snvsb32a.pdf" TargetMode="External"/><Relationship Id="rId744" Type="http://schemas.openxmlformats.org/officeDocument/2006/relationships/hyperlink" Target="https://www.digikey.com/product-detail/en/infineon-technologies/BSR92PH6327XTSA1/BSR92PH6327XTSA1TR-ND/5623206" TargetMode="External"/><Relationship Id="rId786" Type="http://schemas.openxmlformats.org/officeDocument/2006/relationships/hyperlink" Target="https://www.digikey.in/product-detail/en/stackpole-electronics-inc/RAVF104DJT100R/RAVF104DJT100RTR-ND/1744050" TargetMode="External"/><Relationship Id="rId80" Type="http://schemas.openxmlformats.org/officeDocument/2006/relationships/hyperlink" Target="https://coefs.uncc.edu/dlsharer/files/2012/04/H7.pdf" TargetMode="External"/><Relationship Id="rId176" Type="http://schemas.openxmlformats.org/officeDocument/2006/relationships/hyperlink" Target="https://www.solaredge.com/sites/default/files/se_application_fixed_string_voltage.pdf" TargetMode="External"/><Relationship Id="rId341" Type="http://schemas.openxmlformats.org/officeDocument/2006/relationships/hyperlink" Target="https://www.cnblogs.com/shangdawei/p/4783042.html" TargetMode="External"/><Relationship Id="rId383" Type="http://schemas.openxmlformats.org/officeDocument/2006/relationships/hyperlink" Target="http://www.ti.com/lit/df/tidre77/tidre77.pdf" TargetMode="External"/><Relationship Id="rId439" Type="http://schemas.openxmlformats.org/officeDocument/2006/relationships/hyperlink" Target="https://www.infineon.com/cms/en/search.html" TargetMode="External"/><Relationship Id="rId590" Type="http://schemas.openxmlformats.org/officeDocument/2006/relationships/hyperlink" Target="https://www.digikey.com/product-detail/en/panasonic-electronic-components/ERA-6AEB103V/P10KDATR-ND/1465773" TargetMode="External"/><Relationship Id="rId604" Type="http://schemas.openxmlformats.org/officeDocument/2006/relationships/hyperlink" Target="https://www.digikey.com/product-detail/en/nexperia-usa-inc/BAT54S-235/1727-1868-2-ND/1232122" TargetMode="External"/><Relationship Id="rId646" Type="http://schemas.openxmlformats.org/officeDocument/2006/relationships/hyperlink" Target="https://www.digikey.com/product-detail/en/vishay-siliconix/DG604EEQ-T1-GE4/DG604EEQ-T1-GE4TR-ND/7915450" TargetMode="External"/><Relationship Id="rId811" Type="http://schemas.openxmlformats.org/officeDocument/2006/relationships/hyperlink" Target="https://www.seielect.com/catalog/sei-rmcf_rmcp.pdf" TargetMode="External"/><Relationship Id="rId201" Type="http://schemas.openxmlformats.org/officeDocument/2006/relationships/hyperlink" Target="https://www.digikey.com/product-detail/en/toshiba-semiconductor-and-storage/TC75S57FU-TE85LF/TC75S57FU-TE85LF-TR-ND/4516338" TargetMode="External"/><Relationship Id="rId243" Type="http://schemas.openxmlformats.org/officeDocument/2006/relationships/hyperlink" Target="https://www.digikey.com/products/en/inductors-coils-chokes/fixed-inductors/71?k=39h471&amp;k=&amp;pkeyword=39h471&amp;sv=0&amp;pv1989=0&amp;sf=0&amp;quantity=&amp;ColumnSort=0&amp;page=1&amp;pageSize=25" TargetMode="External"/><Relationship Id="rId285" Type="http://schemas.openxmlformats.org/officeDocument/2006/relationships/hyperlink" Target="https://www.energysage.com/solar/101/microinverter-power-optimizer-options/" TargetMode="External"/><Relationship Id="rId450" Type="http://schemas.openxmlformats.org/officeDocument/2006/relationships/hyperlink" Target="https://www.infineon.com/dgdl/Infineon-IP_USIC_XMC-TR-v01_01-EN.pdf?fileId=5546d4624ad04ef9014b0781205d2270" TargetMode="External"/><Relationship Id="rId506" Type="http://schemas.openxmlformats.org/officeDocument/2006/relationships/hyperlink" Target="https://www.cleanenergyreviews.info/blog/solar-panel-components-construction" TargetMode="External"/><Relationship Id="rId688" Type="http://schemas.openxmlformats.org/officeDocument/2006/relationships/hyperlink" Target="https://www.digikey.com/product-detail/en/taiyo-yuden/NR6028T330M/587-2631-2-ND/2349960" TargetMode="External"/><Relationship Id="rId38" Type="http://schemas.openxmlformats.org/officeDocument/2006/relationships/hyperlink" Target="https://www.nrel.gov/analysis/staff.html" TargetMode="External"/><Relationship Id="rId103" Type="http://schemas.openxmlformats.org/officeDocument/2006/relationships/hyperlink" Target="ftp://ftp.panasonic.com/solar/specsheet/n325330-spec-sheet.pdf" TargetMode="External"/><Relationship Id="rId310" Type="http://schemas.openxmlformats.org/officeDocument/2006/relationships/hyperlink" Target="http://www.ti.com/lit/an/slva714c/slva714c.pdf" TargetMode="External"/><Relationship Id="rId492" Type="http://schemas.openxmlformats.org/officeDocument/2006/relationships/hyperlink" Target="https://www.digikey.com/product-detail/en/toshiba-semiconductor-and-storage/TCK402G-LF/TCK402GLFTR-ND/8543445" TargetMode="External"/><Relationship Id="rId548" Type="http://schemas.openxmlformats.org/officeDocument/2006/relationships/hyperlink" Target="https://design.infineon.com/tinademo/designer.php?path=EXAMPLESROOT%7CINFINEON%7CApplications%7CPower%20supplies%7C&amp;file=power_400VDC_SMPS_Half-Bridge_2EDS8265H_CT_reinforced_isolation.TSC&amp;_ga=2.250650374.1613125719.1585853427-1546078566.1579652981&amp;_gac=1.95292142.1585854278.Cj0KCQjwmpb0BRCBARIsAG7y4zbfyf-v1kcIBu5F7Ucry7ZOgCiXzttCqaylaHE3aYwMeBHg3nrieyUaAieJEALw_wcB" TargetMode="External"/><Relationship Id="rId713" Type="http://schemas.openxmlformats.org/officeDocument/2006/relationships/hyperlink" Target="https://www.digikey.com/product-detail/en/viking-tech/AR06DTC1004/2577-AR06DTC1004TR-ND/12141772" TargetMode="External"/><Relationship Id="rId755" Type="http://schemas.openxmlformats.org/officeDocument/2006/relationships/hyperlink" Target="https://www.digikey.com/product-detail/en/infineon-technologies/XMC4200F64F256BAXQMA1/XMC4200F64F256BAXQMA1-ND/5969833" TargetMode="External"/><Relationship Id="rId797" Type="http://schemas.openxmlformats.org/officeDocument/2006/relationships/hyperlink" Target="https://www.digikey.com/product-detail/en/stackpole-electronics-inc/RNCF0603DTE470K/RNCF0603DTE470K-ND/6264259" TargetMode="External"/><Relationship Id="rId91" Type="http://schemas.openxmlformats.org/officeDocument/2006/relationships/hyperlink" Target="https://www.digikey.com/product-detail/en/toshiba-semiconductor-and-storage/TPH4R10ANLL1Q/TPH4R10ANLL1Q-ND/7809860" TargetMode="External"/><Relationship Id="rId145" Type="http://schemas.openxmlformats.org/officeDocument/2006/relationships/hyperlink" Target="https://www.analog.com/media/en/technical-documentation/data-sheets/ADM3050E.pdf" TargetMode="External"/><Relationship Id="rId187" Type="http://schemas.openxmlformats.org/officeDocument/2006/relationships/hyperlink" Target="https://www.onsemi.com/pub/Collateral/AND9596-D.PDF" TargetMode="External"/><Relationship Id="rId352" Type="http://schemas.openxmlformats.org/officeDocument/2006/relationships/hyperlink" Target="http://www.ti.com/product/LM5163" TargetMode="External"/><Relationship Id="rId394" Type="http://schemas.openxmlformats.org/officeDocument/2006/relationships/hyperlink" Target="https://www.digikey.com/product-detail/en/cui-inc/PEME1-S5-S5-S/102-6337-ND/10229872" TargetMode="External"/><Relationship Id="rId408" Type="http://schemas.openxmlformats.org/officeDocument/2006/relationships/hyperlink" Target="https://www.digikey.com/product-detail/en/on-semiconductor/FAN4010IL6X/FAN4010IL6XTR-ND/4562740" TargetMode="External"/><Relationship Id="rId615" Type="http://schemas.openxmlformats.org/officeDocument/2006/relationships/hyperlink" Target="https://www.vishay.com/how/design-support-tools/" TargetMode="External"/><Relationship Id="rId822" Type="http://schemas.openxmlformats.org/officeDocument/2006/relationships/hyperlink" Target="https://www.digikey.com/product-detail/en/on-semiconductor/NLAST4051DTR2G/NLAST4051DTR2GOSTR-ND/920174" TargetMode="External"/><Relationship Id="rId212" Type="http://schemas.openxmlformats.org/officeDocument/2006/relationships/hyperlink" Target="https://www.eleccircuit.com/12-6v-negative-voltage-regulator-using-pnp-emitter-follower/" TargetMode="External"/><Relationship Id="rId254" Type="http://schemas.openxmlformats.org/officeDocument/2006/relationships/hyperlink" Target="https://e2e.ti.com/support/tools/sim-hw-system-design/f/234/t/803979" TargetMode="External"/><Relationship Id="rId657" Type="http://schemas.openxmlformats.org/officeDocument/2006/relationships/hyperlink" Target="https://www.cleanenergyreviews.info/blog/solar-panel-components-construction" TargetMode="External"/><Relationship Id="rId699" Type="http://schemas.openxmlformats.org/officeDocument/2006/relationships/hyperlink" Target="https://www.digikey.com/product-detail/en/taiyo-yuden/NR6028T150M/587-2630-2-ND/2349959" TargetMode="External"/><Relationship Id="rId49" Type="http://schemas.openxmlformats.org/officeDocument/2006/relationships/hyperlink" Target="https://www.energy.gov/eere/solar/solar-projects-map" TargetMode="External"/><Relationship Id="rId114" Type="http://schemas.openxmlformats.org/officeDocument/2006/relationships/hyperlink" Target="https://www.st.com/content/ccc/resource/technical/document/datasheet/ab/15/24/37/78/84/45/3a/CD00110358.pdf/files/CD00110358.pdf/jcr:content/translations/en.CD00110358.pdf" TargetMode="External"/><Relationship Id="rId296" Type="http://schemas.openxmlformats.org/officeDocument/2006/relationships/hyperlink" Target="https://www.digikey.my/reference-designs/en/ac-dc-and-dc-dc-conversion/dc-dc-smps-single-output/1768" TargetMode="External"/><Relationship Id="rId461" Type="http://schemas.openxmlformats.org/officeDocument/2006/relationships/hyperlink" Target="https://www.infineon.com/dgdl/Infineon-USIC-XMC1000_XMC4000-AP32303-AN-v01_00-EN.pdf?fileId=5546d4624e765da5014ed93960ae3391" TargetMode="External"/><Relationship Id="rId517" Type="http://schemas.openxmlformats.org/officeDocument/2006/relationships/hyperlink" Target="https://www.digikey.com/product-detail/en/diodes-incorporated/DMP10H4D2S-7/DMP10H4D2S-7DITR-ND/5699708" TargetMode="External"/><Relationship Id="rId559" Type="http://schemas.openxmlformats.org/officeDocument/2006/relationships/hyperlink" Target="https://www.digikey.com/product-detail/en/infineon-technologies/2EDN7524FXTMA1/2EDN7524FXTMA1TR-ND/5959837" TargetMode="External"/><Relationship Id="rId724" Type="http://schemas.openxmlformats.org/officeDocument/2006/relationships/hyperlink" Target="https://www.digikey.com/product-detail/en/stackpole-electronics-inc/RMCF0805FT22M0/RMCF0805FT22M0TR-ND/6053747" TargetMode="External"/><Relationship Id="rId766" Type="http://schemas.openxmlformats.org/officeDocument/2006/relationships/hyperlink" Target="http://ww1.microchip.com/downloads/en/DeviceDoc/MCP3461-2-4-Two-Four-Eight-Channel-153.6%20ksps-Low-Noise-16-Bit-Delta-Sigma-ADC-DS20006180B.pdf" TargetMode="External"/><Relationship Id="rId60" Type="http://schemas.openxmlformats.org/officeDocument/2006/relationships/hyperlink" Target="https://www.wingas.com/fileadmin/Wingas/WINGAS-Studien/Energieversorgung_und_Energiewende_en.pdf" TargetMode="External"/><Relationship Id="rId156" Type="http://schemas.openxmlformats.org/officeDocument/2006/relationships/hyperlink" Target="https://www.egr.msu.edu/classes/ece480/capstone/fall14/group08/Documents/How%20to%20Implement%20a%20MOSFET%20with%20a%20Gate%20Driver-1.pdf" TargetMode="External"/><Relationship Id="rId198" Type="http://schemas.openxmlformats.org/officeDocument/2006/relationships/hyperlink" Target="http://www.ti.com/lit/an/slyt584/slyt584.pdf" TargetMode="External"/><Relationship Id="rId321" Type="http://schemas.openxmlformats.org/officeDocument/2006/relationships/hyperlink" Target="http://rohmfs.rohm.com/en/products/databook/applinote/ic/power/switching_regulator/buck_converter_efficiency_app-e.pdf" TargetMode="External"/><Relationship Id="rId363" Type="http://schemas.openxmlformats.org/officeDocument/2006/relationships/hyperlink" Target="http://www.vishay.com/docs/28751/acasprec.pdf" TargetMode="External"/><Relationship Id="rId419" Type="http://schemas.openxmlformats.org/officeDocument/2006/relationships/hyperlink" Target="https://www.infineon.com/dgdl/xmc4100_xmc4200_rm_v1.5_2014_04.pdf?fileId=db3a30433afc7e3e013b3c44ccd35c20&amp;ack=t" TargetMode="External"/><Relationship Id="rId570" Type="http://schemas.openxmlformats.org/officeDocument/2006/relationships/hyperlink" Target="http://www.ti.com/design-resources/design-tools-simulation/webench-power-designer.html" TargetMode="External"/><Relationship Id="rId626" Type="http://schemas.openxmlformats.org/officeDocument/2006/relationships/hyperlink" Target="https://www.digikey.com/product-detail/en/stmicroelectronics/TLVH431BIL3T/497-TLVH431BIL3TTR-ND/3516447" TargetMode="External"/><Relationship Id="rId223" Type="http://schemas.openxmlformats.org/officeDocument/2006/relationships/hyperlink" Target="https://www.ti.com/lit/sg/slyt710a/slyt710a.pdf" TargetMode="External"/><Relationship Id="rId430" Type="http://schemas.openxmlformats.org/officeDocument/2006/relationships/hyperlink" Target="https://www.infineon.com/dgdlc/en?dcId=8a8181663431cb50013431cb500b0000&amp;downloadTitle=Infineon-PCB_Sources_Eagle_XMC42DP_CC-PCB-v01_00-EN.zip&amp;download=L2RnZGwvSW5maW5lb24tUENCX1NvdXJjZXNfRWFnbGVfWE1DNDJEUF9DQy1QQ0ItdjAxXzAwLUVOLnppcD9maWxlSWQ9NTU0NmQ0NjI1MTg1ZTBlMjAxNTE4YzNiMWMwNDNlOTk=" TargetMode="External"/><Relationship Id="rId668" Type="http://schemas.openxmlformats.org/officeDocument/2006/relationships/hyperlink" Target="https://www.digikey.com/product-detail/en/texas-instruments/TPS76201DBVR/296-11013-2-ND/382210" TargetMode="External"/><Relationship Id="rId18" Type="http://schemas.openxmlformats.org/officeDocument/2006/relationships/hyperlink" Target="https://www.sciencedirect.com/topics/engineering/solar-space-heating" TargetMode="External"/><Relationship Id="rId265" Type="http://schemas.openxmlformats.org/officeDocument/2006/relationships/hyperlink" Target="https://product.tdk.com/en/search/capacitor/ceramic/mlcc/info?part_no=C3225X7R2A225K230AB" TargetMode="External"/><Relationship Id="rId472" Type="http://schemas.openxmlformats.org/officeDocument/2006/relationships/hyperlink" Target="http://dr&#248;mst&#248;rre.dk/wp-content/wind/miller/windpower%20web/en/tour/wres/annu.htm" TargetMode="External"/><Relationship Id="rId528" Type="http://schemas.openxmlformats.org/officeDocument/2006/relationships/hyperlink" Target="https://www.digikey.com/product-detail/en/on-semiconductor/NTR4501NT1G/NTR4501NT1GOSTR-ND/687097" TargetMode="External"/><Relationship Id="rId735" Type="http://schemas.openxmlformats.org/officeDocument/2006/relationships/hyperlink" Target="https://www.digikey.com/product-detail/en/texas-instruments/UCC27282DRCR/296-53503-2-ND/10261730" TargetMode="External"/><Relationship Id="rId125" Type="http://schemas.openxmlformats.org/officeDocument/2006/relationships/hyperlink" Target="https://www.digikey.com/product-detail/en/eaton-electronics-division/HCM1A1307V2-560-R/283-HCM1A1307V2-560-RTR-ND/10479031" TargetMode="External"/><Relationship Id="rId167" Type="http://schemas.openxmlformats.org/officeDocument/2006/relationships/hyperlink" Target="https://www.solaris-shop.com/blog/power-optimizers-everything-you-need-to-know/" TargetMode="External"/><Relationship Id="rId332" Type="http://schemas.openxmlformats.org/officeDocument/2006/relationships/hyperlink" Target="http://www.ti.com/lit/wp/slpy005/slpy005.pdf" TargetMode="External"/><Relationship Id="rId374" Type="http://schemas.openxmlformats.org/officeDocument/2006/relationships/hyperlink" Target="http://www.ti.com/amplifier-circuit/op-amps/cross-reference.html" TargetMode="External"/><Relationship Id="rId581" Type="http://schemas.openxmlformats.org/officeDocument/2006/relationships/hyperlink" Target="https://www.digikey.com/product-detail/en/on-semiconductor/BZX84C15LT3G/BZX84C15LT3GOSTR-ND/1476313" TargetMode="External"/><Relationship Id="rId777" Type="http://schemas.openxmlformats.org/officeDocument/2006/relationships/hyperlink" Target="http://www.ti.com/lit/ds/symlink/tlv1805-q1.pdf?HQS=TI-null-null-digikeymode-df-pf-null-wwe&amp;ts=1591463085917&amp;ref_url=http://www.ti.com/general/docs/suppproductinfo.tsp?distId%3D10&amp;gotoUrl=http://www.ti.com/lit/gpn/tlv1805-q1" TargetMode="External"/><Relationship Id="rId71" Type="http://schemas.openxmlformats.org/officeDocument/2006/relationships/hyperlink" Target="https://www.digikey.com/product-detail/en/texas-instruments/ISO1050DWR/296-41267-2-ND/2596853" TargetMode="External"/><Relationship Id="rId234" Type="http://schemas.openxmlformats.org/officeDocument/2006/relationships/hyperlink" Target="https://www.electronics-tutorials.ws/opamp/opamp_4.html" TargetMode="External"/><Relationship Id="rId637" Type="http://schemas.openxmlformats.org/officeDocument/2006/relationships/hyperlink" Target="https://www.maximintegrated.com/en/design/technical-documents/tutorials/5/5693.html" TargetMode="External"/><Relationship Id="rId679" Type="http://schemas.openxmlformats.org/officeDocument/2006/relationships/hyperlink" Target="https://www.digikey.com/product-detail/en/samsung-electro-mechanics/CL21A475KLCLQNC/1276-6722-2-ND/5961206" TargetMode="External"/><Relationship Id="rId802" Type="http://schemas.openxmlformats.org/officeDocument/2006/relationships/hyperlink" Target="https://www.analog.com/en/design-center/packaging-quality-symbols-footprints.html" TargetMode="External"/><Relationship Id="rId2" Type="http://schemas.openxmlformats.org/officeDocument/2006/relationships/hyperlink" Target="https://www.digikey.com/product-detail/en/stmicroelectronics/ACST210-8B/497-10870-5-ND/2504620" TargetMode="External"/><Relationship Id="rId29" Type="http://schemas.openxmlformats.org/officeDocument/2006/relationships/hyperlink" Target="https://m.energytrend.com/pricequotes.html" TargetMode="External"/><Relationship Id="rId276" Type="http://schemas.openxmlformats.org/officeDocument/2006/relationships/hyperlink" Target="https://scholar.google.com/scholar?hl=en&amp;as_sdt=0%2C22&amp;as_vis=1&amp;q=solar+optimizer&amp;btnG=" TargetMode="External"/><Relationship Id="rId441" Type="http://schemas.openxmlformats.org/officeDocument/2006/relationships/hyperlink" Target="https://www.infineon.com/dgdl/Infineon-AP32300_XMC_MultiCAN-AN-v01_00-EN.pdf?fileId=5546d462557e6e890155a049fb915be3" TargetMode="External"/><Relationship Id="rId483" Type="http://schemas.openxmlformats.org/officeDocument/2006/relationships/hyperlink" Target="https://www.youtube.com/watch?v=BKrOZ6OogmQ" TargetMode="External"/><Relationship Id="rId539" Type="http://schemas.openxmlformats.org/officeDocument/2006/relationships/hyperlink" Target="https://www.digikey.com/product-detail/en/texas-instruments/UCC27282DRCR/296-53503-2-ND/10261730" TargetMode="External"/><Relationship Id="rId690" Type="http://schemas.openxmlformats.org/officeDocument/2006/relationships/hyperlink" Target="https://www.digikey.com/product-detail/en/bourns-inc/SRP1038C-8R2M/SRP1038C-8R2MTR-ND/10249095" TargetMode="External"/><Relationship Id="rId704" Type="http://schemas.openxmlformats.org/officeDocument/2006/relationships/hyperlink" Target="https://www.digikey.com/product-detail/en/kemet/C1206C474K1REC7800/C1206C474K1REC7800-ND/8644226" TargetMode="External"/><Relationship Id="rId746" Type="http://schemas.openxmlformats.org/officeDocument/2006/relationships/hyperlink" Target="https://www.digikey.com/product-detail/en/nexperia-usa-inc/PMEG3005EGWJ/1727-7342-2-ND/7390567" TargetMode="External"/><Relationship Id="rId40" Type="http://schemas.openxmlformats.org/officeDocument/2006/relationships/hyperlink" Target="https://www.youtube.com/watch?v=43dT66mhh0c" TargetMode="External"/><Relationship Id="rId136" Type="http://schemas.openxmlformats.org/officeDocument/2006/relationships/hyperlink" Target="http://www.vishay.com/docs/20008/dcrcw.pdf" TargetMode="External"/><Relationship Id="rId178" Type="http://schemas.openxmlformats.org/officeDocument/2006/relationships/hyperlink" Target="https://www.amazon.com/VIKOCELL-10Pcs-156MM-Monocrystalline-Silicon/dp/B06X9JS922/ref=cm_cr_arp_d_product_top?ie=UTF8" TargetMode="External"/><Relationship Id="rId301" Type="http://schemas.openxmlformats.org/officeDocument/2006/relationships/hyperlink" Target="https://www.diodes.com/assets/Datasheets/DGD2190M.pdf" TargetMode="External"/><Relationship Id="rId343" Type="http://schemas.openxmlformats.org/officeDocument/2006/relationships/hyperlink" Target="https://www.digikey.com/product-detail/en/diodes-incorporated/AP3012KTR-G1/AP3012KTR-G1DITR-ND/4470846" TargetMode="External"/><Relationship Id="rId550" Type="http://schemas.openxmlformats.org/officeDocument/2006/relationships/hyperlink" Target="https://www.digikey.com/product-detail/en/on-semiconductor/FAN3216TMX/FAN3216TMXTR-ND/2509467" TargetMode="External"/><Relationship Id="rId788" Type="http://schemas.openxmlformats.org/officeDocument/2006/relationships/hyperlink" Target="https://www.digikey.in/product-detail/en/stackpole-electronics-inc/RAVF104DJT33K0/RAVF104DJT33K0-ND/2416621" TargetMode="External"/><Relationship Id="rId82" Type="http://schemas.openxmlformats.org/officeDocument/2006/relationships/hyperlink" Target="http://www.ti.com/lit/ds/symlink/tlv9064.pdf" TargetMode="External"/><Relationship Id="rId203" Type="http://schemas.openxmlformats.org/officeDocument/2006/relationships/hyperlink" Target="https://e2e.ti.com/cfs-file/__key/communityserver-discussions-components-files/196/buck-_2800_2_2900_.xls" TargetMode="External"/><Relationship Id="rId385" Type="http://schemas.openxmlformats.org/officeDocument/2006/relationships/hyperlink" Target="https://www.digikey.com/product-detail/en/texas-instruments/TPS55010EVM-009/296-28812-ND/2667043" TargetMode="External"/><Relationship Id="rId592" Type="http://schemas.openxmlformats.org/officeDocument/2006/relationships/hyperlink" Target="https://www.digikey.com/product-detail/en/stackpole-electronics-inc/RNCF0805BKT10K0/RNCF0805BKT10K0TR-ND/1711521" TargetMode="External"/><Relationship Id="rId606" Type="http://schemas.openxmlformats.org/officeDocument/2006/relationships/hyperlink" Target="https://www.digikey.com/product-detail/en/taiyo-yuden/NRS4018T101MDGJ/587-6091-2-ND/5215121" TargetMode="External"/><Relationship Id="rId648" Type="http://schemas.openxmlformats.org/officeDocument/2006/relationships/hyperlink" Target="https://www.digikey.com/product-detail/en/texas-instruments/LMV344IPWR/296-18596-2-ND/858595" TargetMode="External"/><Relationship Id="rId813" Type="http://schemas.openxmlformats.org/officeDocument/2006/relationships/hyperlink" Target="https://www.vishay.com/docs/20035/dcrcwe3.pdf" TargetMode="External"/><Relationship Id="rId245" Type="http://schemas.openxmlformats.org/officeDocument/2006/relationships/hyperlink" Target="http://www.ti.com/lit/an/sprabt0/sprabt0.pdf" TargetMode="External"/><Relationship Id="rId287" Type="http://schemas.openxmlformats.org/officeDocument/2006/relationships/hyperlink" Target="https://solar.huawei.com/en/download?p=%2F-%2Fmedia%2FSolar%2Fattachment%2Fpdf%2Feu%2Fdatasheet%2FSUN2000P.pdf" TargetMode="External"/><Relationship Id="rId410" Type="http://schemas.openxmlformats.org/officeDocument/2006/relationships/hyperlink" Target="https://www.digikey.com/products/en/isolators/optoisolators-transistor-photovoltaic-output/903?k=&amp;pkeyword=&amp;sv=0&amp;pv598=67627&amp;sf=0&amp;FV=7%7C1%2C1989%7C0%2Cii2%7C2093%2C-8%7C903%2C598%7C181806%2C598%7C181808%2C598%7C212934%2C598%7C236328%2C598%7C236330%2C598%7C255645%2C598%7C255647%2C598%7C67627%2C598%7C68174&amp;quantity=&amp;ColumnSort=1000011&amp;page=1&amp;pageSize=25" TargetMode="External"/><Relationship Id="rId452" Type="http://schemas.openxmlformats.org/officeDocument/2006/relationships/hyperlink" Target="https://www.infineon.com/dgdl/Infineon-Tooling%20-%20XMC4000%20boot%20mode%20options-TR-v01_00-EN.pdf?fileId=5546d4625696ed7601569d06286314d8" TargetMode="External"/><Relationship Id="rId494" Type="http://schemas.openxmlformats.org/officeDocument/2006/relationships/hyperlink" Target="https://www.digikey.com/product-detail/en/lattice-semiconductor-corporation/LCMXO3L-640E-5MG121C/LCMXO3L-640E-5MG121C-ND/5774833" TargetMode="External"/><Relationship Id="rId508" Type="http://schemas.openxmlformats.org/officeDocument/2006/relationships/hyperlink" Target="https://www.digikey.com/product-detail/en/infineon-technologies/BSR92PH6327XTSA1/BSR92PH6327XTSA1TR-ND/5623206" TargetMode="External"/><Relationship Id="rId715" Type="http://schemas.openxmlformats.org/officeDocument/2006/relationships/hyperlink" Target="https://www.digikey.com/product-detail/en/viking-tech/AR06DTC1004/2577-AR06DTC1004TR-ND/12141772" TargetMode="External"/><Relationship Id="rId105" Type="http://schemas.openxmlformats.org/officeDocument/2006/relationships/hyperlink" Target="http://www.lg-solar.com/downloads/spec-sheet/DS_NeON2_60cells.pdf" TargetMode="External"/><Relationship Id="rId147" Type="http://schemas.openxmlformats.org/officeDocument/2006/relationships/hyperlink" Target="https://www.analog.com/media/en/package-pcb-resources/package/pkg_pdf/ltc-legacy-sc-70/SOT_6_05-08-1638.pdf" TargetMode="External"/><Relationship Id="rId312" Type="http://schemas.openxmlformats.org/officeDocument/2006/relationships/hyperlink" Target="https://toshiba.semicon-storage.com/us/product/mosfet/detail.TPH3R70APL.html" TargetMode="External"/><Relationship Id="rId354" Type="http://schemas.openxmlformats.org/officeDocument/2006/relationships/hyperlink" Target="https://www.digikey.com/product-detail/en/tdk-corporation/CGA3E2X7R2A222K080AA/445-5808-2-ND/2443286" TargetMode="External"/><Relationship Id="rId757" Type="http://schemas.openxmlformats.org/officeDocument/2006/relationships/hyperlink" Target="https://www.infineon.com/dgdl/Infineon-XMC4200_Microcontroller_Digital_Power_Control_Card_User_Manual-UM-v01_01-EN.pdf?fileId=5546d4625185e0e201518bf18e663e3b" TargetMode="External"/><Relationship Id="rId799" Type="http://schemas.openxmlformats.org/officeDocument/2006/relationships/hyperlink" Target="https://techdocs.altium.com/display/ADOH/Download+Libraries" TargetMode="External"/><Relationship Id="rId51" Type="http://schemas.openxmlformats.org/officeDocument/2006/relationships/hyperlink" Target="https://www.energy.gov/eere/solar/contact-us" TargetMode="External"/><Relationship Id="rId93" Type="http://schemas.openxmlformats.org/officeDocument/2006/relationships/hyperlink" Target="https://www.digikey.com/product-detail/en/taiwan-semiconductor-corporation/1SMB5947-M4G/1SMB5947M4G-ND/7367885" TargetMode="External"/><Relationship Id="rId189" Type="http://schemas.openxmlformats.org/officeDocument/2006/relationships/hyperlink" Target="http://www.ti.com/lit/an/snoaa14a/snoaa14a.pdf" TargetMode="External"/><Relationship Id="rId396" Type="http://schemas.openxmlformats.org/officeDocument/2006/relationships/hyperlink" Target="https://www.digikey.com/product-detail/en/recom-power/R1SE-0505-R/945-1659-2-ND/3593408" TargetMode="External"/><Relationship Id="rId561" Type="http://schemas.openxmlformats.org/officeDocument/2006/relationships/hyperlink" Target="https://www.digikey.com/product-detail/en/diodes-incorporated/DMC3400SDW-13/DMC3400SDW-13DITR-ND/5223303" TargetMode="External"/><Relationship Id="rId617" Type="http://schemas.openxmlformats.org/officeDocument/2006/relationships/hyperlink" Target="https://www.murata.com/en-us/tool/spicedata/netlist-mlcc" TargetMode="External"/><Relationship Id="rId659" Type="http://schemas.openxmlformats.org/officeDocument/2006/relationships/hyperlink" Target="https://www.cesa.org/wp-content/uploads/Standards-and-Requirements-for-Solar.pdf" TargetMode="External"/><Relationship Id="rId824" Type="http://schemas.openxmlformats.org/officeDocument/2006/relationships/hyperlink" Target="https://www.digikey.com/product-detail/en/texas-instruments/LMV794MAX-NOPB/296-44291-2-ND/1840736" TargetMode="External"/><Relationship Id="rId214" Type="http://schemas.openxmlformats.org/officeDocument/2006/relationships/hyperlink" Target="http://www.ti.com/lit/an/snva803/snva803.pdf" TargetMode="External"/><Relationship Id="rId256" Type="http://schemas.openxmlformats.org/officeDocument/2006/relationships/hyperlink" Target="https://www.digikey.com/product-detail/en/kemet/MPCH1055L1R3/399-10973-2-ND/4291039" TargetMode="External"/><Relationship Id="rId298" Type="http://schemas.openxmlformats.org/officeDocument/2006/relationships/hyperlink" Target="http://www.ti.com/lit/ds/symlink/ucc27710.pdf" TargetMode="External"/><Relationship Id="rId421" Type="http://schemas.openxmlformats.org/officeDocument/2006/relationships/hyperlink" Target="https://www.mouser.com/ProductDetail/Infineon-Technologies/KITXMCDPEXP01TOBO1?qs=sGAEpiMZZMtw0nEwywcFgC85QKRiEsK%252B5XSUB6RvG%2FmI%2FiaFU8%2FOfg%3D%3D" TargetMode="External"/><Relationship Id="rId463" Type="http://schemas.openxmlformats.org/officeDocument/2006/relationships/hyperlink" Target="https://www.tina.com/version-comparison/" TargetMode="External"/><Relationship Id="rId519" Type="http://schemas.openxmlformats.org/officeDocument/2006/relationships/hyperlink" Target="http://www.ti.com/power-management/gate-drivers/half-bridge-drivers/products.html" TargetMode="External"/><Relationship Id="rId670" Type="http://schemas.openxmlformats.org/officeDocument/2006/relationships/hyperlink" Target="https://www.digikey.com/product-detail/en/texas-instruments/LM2664M6X-NOPB/LM2664M6X-NOPBTR-ND/366882" TargetMode="External"/><Relationship Id="rId116" Type="http://schemas.openxmlformats.org/officeDocument/2006/relationships/hyperlink" Target="http://www.ti.com/lit/an/slvae57/slvae57.pdf" TargetMode="External"/><Relationship Id="rId158" Type="http://schemas.openxmlformats.org/officeDocument/2006/relationships/hyperlink" Target="https://www.electronics-tutorials.ws/transistor/tran_7.html" TargetMode="External"/><Relationship Id="rId323" Type="http://schemas.openxmlformats.org/officeDocument/2006/relationships/hyperlink" Target="https://www.analog.com/media/en/training-seminars/tutorials/MT-037.pdf" TargetMode="External"/><Relationship Id="rId530" Type="http://schemas.openxmlformats.org/officeDocument/2006/relationships/hyperlink" Target="https://www.digikey.com/product-detail/en/diodes-incorporated/DMN6075S-13/DMN6075S-13DI-ND/5149391" TargetMode="External"/><Relationship Id="rId726" Type="http://schemas.openxmlformats.org/officeDocument/2006/relationships/hyperlink" Target="https://www.digikey.com/product-detail/en/stackpole-electronics-inc/RMCF0805FT330K/RMCF0805FT330KTR-ND/1760482" TargetMode="External"/><Relationship Id="rId768" Type="http://schemas.openxmlformats.org/officeDocument/2006/relationships/hyperlink" Target="https://www.digikey.com/product-detail/en/microchip-technology/MCP3461T-E-ST/150-MCP3461T-E-STTR-ND/11618272" TargetMode="External"/><Relationship Id="rId20" Type="http://schemas.openxmlformats.org/officeDocument/2006/relationships/hyperlink" Target="http://www.greenspec.co.uk/building-design/thermal-mass/" TargetMode="External"/><Relationship Id="rId62" Type="http://schemas.openxmlformats.org/officeDocument/2006/relationships/hyperlink" Target="https://www.maximintegrated.com/en/products/analog/voltage-references/MAX6070.html/tb_tab0" TargetMode="External"/><Relationship Id="rId365" Type="http://schemas.openxmlformats.org/officeDocument/2006/relationships/hyperlink" Target="https://www.digikey.com/product-detail/en/toshiba-semiconductor-and-storage/74VHC4052AFT-BJ/74VHC4052AFT-BJ-TR-ND/7394042" TargetMode="External"/><Relationship Id="rId572" Type="http://schemas.openxmlformats.org/officeDocument/2006/relationships/hyperlink" Target="https://infineon.poweresim.com/" TargetMode="External"/><Relationship Id="rId628" Type="http://schemas.openxmlformats.org/officeDocument/2006/relationships/hyperlink" Target="https://www.digikey.com/product-detail/en/texas-instruments/OPA388IDR/296-45348-2-ND/6590821" TargetMode="External"/><Relationship Id="rId225" Type="http://schemas.openxmlformats.org/officeDocument/2006/relationships/hyperlink" Target="https://www.digikey.com/product-detail/en/texas-instruments/OPA837IDBVR/296-49253-2-ND/7691356" TargetMode="External"/><Relationship Id="rId267" Type="http://schemas.openxmlformats.org/officeDocument/2006/relationships/hyperlink" Target="http://www.ti.com/lit/an/slua929a/slua929a.pdf" TargetMode="External"/><Relationship Id="rId432" Type="http://schemas.openxmlformats.org/officeDocument/2006/relationships/hyperlink" Target="https://www.mouser.com/datasheet/2/196/Infineon-XMC_DigitalPowerExplorerPowerBoard_UserMa-843873.pdf" TargetMode="External"/><Relationship Id="rId474" Type="http://schemas.openxmlformats.org/officeDocument/2006/relationships/hyperlink" Target="https://en.wikipedia.org/wiki/Hoosac_Wind_Power_Project" TargetMode="External"/><Relationship Id="rId127" Type="http://schemas.openxmlformats.org/officeDocument/2006/relationships/hyperlink" Target="https://www.digikey.com/product-detail/en/on-semiconductor/NLAST4501DFT2G/NLAST4501DFT2GOSTR-ND/921487" TargetMode="External"/><Relationship Id="rId681" Type="http://schemas.openxmlformats.org/officeDocument/2006/relationships/hyperlink" Target="https://www.digikey.com/products/en?keywords=RMCF1206FG10K0" TargetMode="External"/><Relationship Id="rId737" Type="http://schemas.openxmlformats.org/officeDocument/2006/relationships/hyperlink" Target="http://www.renovagen.com/products/rapid-roll-i/" TargetMode="External"/><Relationship Id="rId779" Type="http://schemas.openxmlformats.org/officeDocument/2006/relationships/hyperlink" Target="https://www.digikey.com/product-detail/en/recom-power/R1SE-0512-H2-R/945-2273-2-ND/5226207" TargetMode="External"/><Relationship Id="rId31" Type="http://schemas.openxmlformats.org/officeDocument/2006/relationships/hyperlink" Target="https://www.engineering.com/Blogs/tabid/3207/ArticleID/152/Thermal-Conductivity.aspx" TargetMode="External"/><Relationship Id="rId73" Type="http://schemas.openxmlformats.org/officeDocument/2006/relationships/hyperlink" Target="http://www.ti.com/product/ISO1042" TargetMode="External"/><Relationship Id="rId169" Type="http://schemas.openxmlformats.org/officeDocument/2006/relationships/hyperlink" Target="https://gridalternatives.org/sites/default/files/se_power_optimizers_installation_guide.pdf" TargetMode="External"/><Relationship Id="rId334" Type="http://schemas.openxmlformats.org/officeDocument/2006/relationships/hyperlink" Target="https://www.digikey.com/product-detail/en/on-semiconductor/MMBT5551LT3G/MMBT5551LT3GOSTR-ND/1481953" TargetMode="External"/><Relationship Id="rId376" Type="http://schemas.openxmlformats.org/officeDocument/2006/relationships/hyperlink" Target="https://www.pspice.com/incorrect-ground-symbol-may-result-floating-node-or-convergence-problems" TargetMode="External"/><Relationship Id="rId541" Type="http://schemas.openxmlformats.org/officeDocument/2006/relationships/hyperlink" Target="http://www.ti.com/lit/ug/tidueq1a/tidueq1a.pdf" TargetMode="External"/><Relationship Id="rId583" Type="http://schemas.openxmlformats.org/officeDocument/2006/relationships/hyperlink" Target="https://www.onsemi.com/pub/Collateral/NLAST4051-D.PDF" TargetMode="External"/><Relationship Id="rId639" Type="http://schemas.openxmlformats.org/officeDocument/2006/relationships/hyperlink" Target="https://www.analog.com/media/en/training-seminars/tutorials/MT-038.pdf" TargetMode="External"/><Relationship Id="rId790" Type="http://schemas.openxmlformats.org/officeDocument/2006/relationships/hyperlink" Target="https://www.digikey.in/product-detail/en/stackpole-electronics-inc/RAVF104DJT100K/RAVF104DJT100KTR-ND/1744051" TargetMode="External"/><Relationship Id="rId804" Type="http://schemas.openxmlformats.org/officeDocument/2006/relationships/hyperlink" Target="https://app.ultralibrarian.com/content/help/?altium_designer.htm" TargetMode="External"/><Relationship Id="rId4" Type="http://schemas.openxmlformats.org/officeDocument/2006/relationships/hyperlink" Target="https://m.energytrend.com/pricequotes.html" TargetMode="External"/><Relationship Id="rId180" Type="http://schemas.openxmlformats.org/officeDocument/2006/relationships/hyperlink" Target="https://repository.asu.edu/attachments/194781/content/Flexible%20Modules%20Using_2016.pdf" TargetMode="External"/><Relationship Id="rId236" Type="http://schemas.openxmlformats.org/officeDocument/2006/relationships/hyperlink" Target="https://repository.asu.edu/attachments/162120/content/ManchanahalliRanganatha_asu_0010N_15408.pdf" TargetMode="External"/><Relationship Id="rId278" Type="http://schemas.openxmlformats.org/officeDocument/2006/relationships/hyperlink" Target="https://patents.google.com/patent/US20080236648A1/en" TargetMode="External"/><Relationship Id="rId401" Type="http://schemas.openxmlformats.org/officeDocument/2006/relationships/hyperlink" Target="https://www.digikey.com/product-detail/en/bourns-inc/SRU1048-100Y/SRU1048-100YTR-ND/2352907" TargetMode="External"/><Relationship Id="rId443" Type="http://schemas.openxmlformats.org/officeDocument/2006/relationships/hyperlink" Target="https://www.infineon.com/dgdl/Infineon-XMC-peak-current-control-in-XMC4-TR-v01_00-EN.pdf?fileId=5546d46253f650570154610003fd7f70" TargetMode="External"/><Relationship Id="rId650" Type="http://schemas.openxmlformats.org/officeDocument/2006/relationships/hyperlink" Target="https://en.wikipedia.org/wiki/List_of_insulation_materials" TargetMode="External"/><Relationship Id="rId303" Type="http://schemas.openxmlformats.org/officeDocument/2006/relationships/hyperlink" Target="http://www.ti.com/product/UCC27712" TargetMode="External"/><Relationship Id="rId485" Type="http://schemas.openxmlformats.org/officeDocument/2006/relationships/hyperlink" Target="https://web.stanford.edu/group/mcgehee/presentations/McGehee's%202014%20Energy%20Seminar.pdf" TargetMode="External"/><Relationship Id="rId692" Type="http://schemas.openxmlformats.org/officeDocument/2006/relationships/hyperlink" Target="https://www.digikey.com/product-detail/en/signal-transformer/SCRH125-471/SCRH125-471-ND/2778969" TargetMode="External"/><Relationship Id="rId706" Type="http://schemas.openxmlformats.org/officeDocument/2006/relationships/hyperlink" Target="https://www.digikey.com/product-detail/en/bourns-inc/SRU1048-100Y/SRU1048-100YTR-ND/2352907" TargetMode="External"/><Relationship Id="rId748" Type="http://schemas.openxmlformats.org/officeDocument/2006/relationships/hyperlink" Target="https://www.digikey.com/product-detail/en/texas-instruments/TPS561201DDCR/296-47885-2-ND/7312149" TargetMode="External"/><Relationship Id="rId42" Type="http://schemas.openxmlformats.org/officeDocument/2006/relationships/hyperlink" Target="https://www.homeadvisor.com/cost/roofing/install-a-roof/" TargetMode="External"/><Relationship Id="rId84" Type="http://schemas.openxmlformats.org/officeDocument/2006/relationships/hyperlink" Target="https://www.analog.com/media/en/technical-documentation/application-notes/an105fa.pdf" TargetMode="External"/><Relationship Id="rId138" Type="http://schemas.openxmlformats.org/officeDocument/2006/relationships/hyperlink" Target="http://www.standardproducts.philips.com/packaging/pkgoutlines/" TargetMode="External"/><Relationship Id="rId345" Type="http://schemas.openxmlformats.org/officeDocument/2006/relationships/hyperlink" Target="https://www.digikey.com/product-detail/en/diodes-incorporated/AP3015AKTR-G1/AP3015AKTR-G1DITR-ND/4470848" TargetMode="External"/><Relationship Id="rId387" Type="http://schemas.openxmlformats.org/officeDocument/2006/relationships/hyperlink" Target="https://www.digikey.com/product-detail/en/cui-inc/PDSE1-S5-S12-S/102-6293-ND/10229828" TargetMode="External"/><Relationship Id="rId510" Type="http://schemas.openxmlformats.org/officeDocument/2006/relationships/hyperlink" Target="https://www.onsemi.com/pub/Collateral/BZX84C2V4LT1-D.PDF" TargetMode="External"/><Relationship Id="rId552" Type="http://schemas.openxmlformats.org/officeDocument/2006/relationships/hyperlink" Target="https://www.digikey.com/product-detail/en/infineon-technologies/1EDN7550BXTSA1/1EDN7550BXTSA1TR-ND/8627153" TargetMode="External"/><Relationship Id="rId594" Type="http://schemas.openxmlformats.org/officeDocument/2006/relationships/hyperlink" Target="http://www.latticesemi.com/-/media/LatticeSemi/Documents/ApplicationNotes/MO/MachXO3sysIOUsageGuide.ashx?document_id=50125" TargetMode="External"/><Relationship Id="rId608" Type="http://schemas.openxmlformats.org/officeDocument/2006/relationships/hyperlink" Target="https://www.digikey.com/product-detail/en/texas-instruments/TPS78236DDCR/296-36848-2-ND/3074523" TargetMode="External"/><Relationship Id="rId815" Type="http://schemas.openxmlformats.org/officeDocument/2006/relationships/hyperlink" Target="https://media.digikey.com/pdf/Data%20Sheets/Samsung%20PDFs/RC_Series_ds.pdf" TargetMode="External"/><Relationship Id="rId191" Type="http://schemas.openxmlformats.org/officeDocument/2006/relationships/hyperlink" Target="https://www.mouser.com/datasheet/2/2/Aavid-Board-Level-Heatsinks-Catalog-2018-1507171.pdf" TargetMode="External"/><Relationship Id="rId205" Type="http://schemas.openxmlformats.org/officeDocument/2006/relationships/hyperlink" Target="https://www.monolithicpower.com/en/documentview/productdocument/index/version/2/document_type/Datasheet/lang/en/sku/MP6003/document_id/1137" TargetMode="External"/><Relationship Id="rId247" Type="http://schemas.openxmlformats.org/officeDocument/2006/relationships/hyperlink" Target="http://www.ti.com/lit/df/tidr767a/tidr767a.pdf" TargetMode="External"/><Relationship Id="rId412" Type="http://schemas.openxmlformats.org/officeDocument/2006/relationships/hyperlink" Target="https://www.digikey.com/product-detail/en/nexperia-usa-inc/TL431ACDBZRVL/TL431ACDBZRVL-ND/7495801" TargetMode="External"/><Relationship Id="rId107" Type="http://schemas.openxmlformats.org/officeDocument/2006/relationships/hyperlink" Target="https://www.solaris-shop.com/canadian-solar-biku-cs3u-375-mb-ag-375w-bifacial-mono-solar-panel/" TargetMode="External"/><Relationship Id="rId289" Type="http://schemas.openxmlformats.org/officeDocument/2006/relationships/hyperlink" Target="https://www.tigoenergy.com/products/" TargetMode="External"/><Relationship Id="rId454" Type="http://schemas.openxmlformats.org/officeDocument/2006/relationships/hyperlink" Target="https://www.we-online.com/web/fr/index.php/show/media/07_electronic_components/produkte_3/digital_power/Flyer.pdf" TargetMode="External"/><Relationship Id="rId496" Type="http://schemas.openxmlformats.org/officeDocument/2006/relationships/hyperlink" Target="https://www.digikey.com/product-detail/en/recom-power/R1SE-0512-H2-R/945-2273-2-ND/5226207" TargetMode="External"/><Relationship Id="rId661" Type="http://schemas.openxmlformats.org/officeDocument/2006/relationships/hyperlink" Target="https://www.diodes.com/assets/Package-Files/SOT563.pdf" TargetMode="External"/><Relationship Id="rId717" Type="http://schemas.openxmlformats.org/officeDocument/2006/relationships/hyperlink" Target="https://www.digikey.com/product-detail/en/diodes-incorporated/DMT10H009SPS-13/DMT10H009SPS-13DI-ND/10295343" TargetMode="External"/><Relationship Id="rId759" Type="http://schemas.openxmlformats.org/officeDocument/2006/relationships/hyperlink" Target="https://www.infineon.com/cms/en/product/evaluation-boards/kit_xmc_plt2go_xmc4200/" TargetMode="External"/><Relationship Id="rId11" Type="http://schemas.openxmlformats.org/officeDocument/2006/relationships/hyperlink" Target="https://www.inchcalculator.com/calculate-many-btus-needed-heat-home/" TargetMode="External"/><Relationship Id="rId53" Type="http://schemas.openxmlformats.org/officeDocument/2006/relationships/hyperlink" Target="https://www.energy.gov/eere/amo/amo-contacts" TargetMode="External"/><Relationship Id="rId149" Type="http://schemas.openxmlformats.org/officeDocument/2006/relationships/hyperlink" Target="https://www.digikey.com/product-detail/en/diodes-incorporated/AP2602FNTR-G1/AP2602FNTR-G1DI-ND/4570563" TargetMode="External"/><Relationship Id="rId314" Type="http://schemas.openxmlformats.org/officeDocument/2006/relationships/hyperlink" Target="http://e2e.ti.com/support/tools/sim-hw-system-design/f/234/t/143181?TINA-Power-Dissipation" TargetMode="External"/><Relationship Id="rId356" Type="http://schemas.openxmlformats.org/officeDocument/2006/relationships/hyperlink" Target="http://www.ti.com/lit/wp/slyy081a/slyy081a.pdf" TargetMode="External"/><Relationship Id="rId398" Type="http://schemas.openxmlformats.org/officeDocument/2006/relationships/hyperlink" Target="http://www.ti.com/lit/ug/snvu562/snvu562.pdf" TargetMode="External"/><Relationship Id="rId521" Type="http://schemas.openxmlformats.org/officeDocument/2006/relationships/hyperlink" Target="https://www.digikey.com/product-detail/en/texas-instruments/CD4504BM96/296-14150-2-ND/525968" TargetMode="External"/><Relationship Id="rId563" Type="http://schemas.openxmlformats.org/officeDocument/2006/relationships/hyperlink" Target="https://www.digikey.com/product-detail/en/texas-instruments/CSD19533Q5A/296-37479-2-ND/4563530" TargetMode="External"/><Relationship Id="rId619" Type="http://schemas.openxmlformats.org/officeDocument/2006/relationships/hyperlink" Target="http://ksim.kemet.com/Ceramic/CeramicCapSelection.aspx" TargetMode="External"/><Relationship Id="rId770" Type="http://schemas.openxmlformats.org/officeDocument/2006/relationships/hyperlink" Target="https://www.digikey.com/product-detail/en/amphenol-icc-fci/ID25P33E4GV00LF/609-5772-ND/1536195" TargetMode="External"/><Relationship Id="rId95" Type="http://schemas.openxmlformats.org/officeDocument/2006/relationships/hyperlink" Target="https://www.digikey.com/product-detail/en/smc-diode-solutions/SURF860/SURF860SMC-ND/5992672" TargetMode="External"/><Relationship Id="rId160" Type="http://schemas.openxmlformats.org/officeDocument/2006/relationships/hyperlink" Target="https://toshiba.semicon-storage.com/info/docget.jsp?did=59460" TargetMode="External"/><Relationship Id="rId216" Type="http://schemas.openxmlformats.org/officeDocument/2006/relationships/hyperlink" Target="https://www.ti.com/seclit/wp/slup323/slup323.pdf" TargetMode="External"/><Relationship Id="rId423" Type="http://schemas.openxmlformats.org/officeDocument/2006/relationships/hyperlink" Target="https://www.infineon.com/dgdl/Infineon-AP32319_Synchronous_Buck_converter_with_XMC_Digital_Power_Explorer_Kit-AN-v01_00-EN.pdf?fileId=5546d462557e6e8901559b9168515eec" TargetMode="External"/><Relationship Id="rId826" Type="http://schemas.openxmlformats.org/officeDocument/2006/relationships/hyperlink" Target="https://www.digikey.com/product-detail/en/nxp-usa-inc/TJA1057GTJ/568-13280-2-ND/4843407" TargetMode="External"/><Relationship Id="rId258" Type="http://schemas.openxmlformats.org/officeDocument/2006/relationships/hyperlink" Target="http://www.ti.com/lit/an/slua929a/slua929a.pdf" TargetMode="External"/><Relationship Id="rId465" Type="http://schemas.openxmlformats.org/officeDocument/2006/relationships/hyperlink" Target="https://www.digikey.com/product-detail/en/diodes-incorporated/AP3429AKTTR-G1/AP3429AKTTR-G1DITR-ND/5359836" TargetMode="External"/><Relationship Id="rId630" Type="http://schemas.openxmlformats.org/officeDocument/2006/relationships/hyperlink" Target="https://www.digikey.com/product-detail/en/texas-instruments/OPA4314AIPWR/296-37662-2-ND/3431153" TargetMode="External"/><Relationship Id="rId672" Type="http://schemas.openxmlformats.org/officeDocument/2006/relationships/hyperlink" Target="https://www.digikey.com/product-detail/en/on-semiconductor/NLAST4051DTR2G/NLAST4051DTR2GOSTR-ND/920174" TargetMode="External"/><Relationship Id="rId728" Type="http://schemas.openxmlformats.org/officeDocument/2006/relationships/hyperlink" Target="https://www.digikey.com/product-detail/en/nexperia-usa-inc/BZX84-C18-235/1727-6254-2-ND/1156065" TargetMode="External"/><Relationship Id="rId22" Type="http://schemas.openxmlformats.org/officeDocument/2006/relationships/hyperlink" Target="https://en.wikipedia.org/wiki/Density" TargetMode="External"/><Relationship Id="rId64" Type="http://schemas.openxmlformats.org/officeDocument/2006/relationships/hyperlink" Target="https://www.digikey.com/product-detail/en/panasonic-electronic-components/ERA-3AEB103V/P10KDBTR-ND/1465878" TargetMode="External"/><Relationship Id="rId118" Type="http://schemas.openxmlformats.org/officeDocument/2006/relationships/hyperlink" Target="https://www.analog.com/media/en/technical-documentation/data-sheets/4357fd.pdf" TargetMode="External"/><Relationship Id="rId325" Type="http://schemas.openxmlformats.org/officeDocument/2006/relationships/hyperlink" Target="https://e2e.ti.com/blogs_/b/powerhouse/archive/2015/09/10/control-a-gan-half-bridge-power-stage-with-a-single-pwm-signal" TargetMode="External"/><Relationship Id="rId367" Type="http://schemas.openxmlformats.org/officeDocument/2006/relationships/hyperlink" Target="https://www.mouser.com/ProductDetail/Vishay-Beyschlag/ACASN1000S1000P1AT?qs=sGAEpiMZZMvrmc6UYKmaNfQm27WGhZG8EsCbJ4z0G2A%3D" TargetMode="External"/><Relationship Id="rId532" Type="http://schemas.openxmlformats.org/officeDocument/2006/relationships/hyperlink" Target="https://www.digikey.com/product-detail/en/diodes-incorporated/DMP2170U-13/DMP2170U-13-ND/6187309" TargetMode="External"/><Relationship Id="rId574" Type="http://schemas.openxmlformats.org/officeDocument/2006/relationships/hyperlink" Target="https://fscdn.rohm.com/en/products/databook/applinote/ic/power/switching_regulator/inductor_calculation_appli-e.pdf" TargetMode="External"/><Relationship Id="rId171" Type="http://schemas.openxmlformats.org/officeDocument/2006/relationships/hyperlink" Target="https://forums.ni.com/t5/Showcasing-Student-Innovation/Intelligent-500W-Solar-Energy-Storage-System/ta-p/3538063?profile.language=en" TargetMode="External"/><Relationship Id="rId227" Type="http://schemas.openxmlformats.org/officeDocument/2006/relationships/hyperlink" Target="https://www.digikey.com/product-detail/en/texas-instruments/LM7705MMX-NOPB/296-42679-2-ND/2020262" TargetMode="External"/><Relationship Id="rId781" Type="http://schemas.openxmlformats.org/officeDocument/2006/relationships/hyperlink" Target="http://www.ma2.life/doc/Common/Manhattan2_All_Research_Files/Manhattan2/Research_Lab/Glenn_Weinreb/GWeinreb_Manhattan2_ResearchNotes.xlsx" TargetMode="External"/><Relationship Id="rId269" Type="http://schemas.openxmlformats.org/officeDocument/2006/relationships/hyperlink" Target="https://www.degruyter.com/downloadpdf/j/mms.2015.22.issue-1/mms-2015-0012/mms-2015-0012.pdf" TargetMode="External"/><Relationship Id="rId434" Type="http://schemas.openxmlformats.org/officeDocument/2006/relationships/hyperlink" Target="https://www.infineon.com/cms/en/search.html" TargetMode="External"/><Relationship Id="rId476" Type="http://schemas.openxmlformats.org/officeDocument/2006/relationships/hyperlink" Target="https://www.energy.gov/sites/prod/files/2015/06/f22/MA_Energy%20Sector%20Risk%20Profile.pdf" TargetMode="External"/><Relationship Id="rId641" Type="http://schemas.openxmlformats.org/officeDocument/2006/relationships/hyperlink" Target="https://www.microchip.com/doclisting/TechDoc.aspx?type=Spice" TargetMode="External"/><Relationship Id="rId683" Type="http://schemas.openxmlformats.org/officeDocument/2006/relationships/hyperlink" Target="https://www.digikey.com/product-detail/en/samsung-electro-mechanics/CL10B103KB8SFNC/1276-1924-2-ND/3887582" TargetMode="External"/><Relationship Id="rId739" Type="http://schemas.openxmlformats.org/officeDocument/2006/relationships/hyperlink" Target="https://www.digikey.com/product-detail/en/nexperia-usa-inc/BZX84-C30-235/1727-8507-2-ND/1156079" TargetMode="External"/><Relationship Id="rId33" Type="http://schemas.openxmlformats.org/officeDocument/2006/relationships/hyperlink" Target="https://www.builditsolar.com/Projects/SpaceHeating/Components.htm" TargetMode="External"/><Relationship Id="rId129" Type="http://schemas.openxmlformats.org/officeDocument/2006/relationships/hyperlink" Target="https://www.analog.com/en/products/ad8218.html" TargetMode="External"/><Relationship Id="rId280" Type="http://schemas.openxmlformats.org/officeDocument/2006/relationships/hyperlink" Target="https://patentimages.storage.googleapis.com/d1/ee/10/64a4b60fd5f289/CN202004692U.pdf" TargetMode="External"/><Relationship Id="rId336" Type="http://schemas.openxmlformats.org/officeDocument/2006/relationships/hyperlink" Target="https://www.digikey.com/product-detail/en/on-semiconductor/BSS123L/BSS123LTR-ND/5044750" TargetMode="External"/><Relationship Id="rId501" Type="http://schemas.openxmlformats.org/officeDocument/2006/relationships/hyperlink" Target="https://www.digikey.com/product-detail/en/SSQ-110-23-G-D/SAM10741-ND/5514203/?itemSeq=321405059" TargetMode="External"/><Relationship Id="rId543" Type="http://schemas.openxmlformats.org/officeDocument/2006/relationships/hyperlink" Target="https://www.digikey.com/products/en/integrated-circuits-ics/pmic-full-half-bridge-drivers/746?quantity=0&amp;ColumnSort=1000011&amp;page=1&amp;k=NCP51530B&amp;pageSize=25" TargetMode="External"/><Relationship Id="rId75" Type="http://schemas.openxmlformats.org/officeDocument/2006/relationships/hyperlink" Target="https://www.analog.com/en/parametricsearch/11034" TargetMode="External"/><Relationship Id="rId140" Type="http://schemas.openxmlformats.org/officeDocument/2006/relationships/hyperlink" Target="https://www.smd.ru/upload/medialibrary/474/sma_dim.pdf" TargetMode="External"/><Relationship Id="rId182" Type="http://schemas.openxmlformats.org/officeDocument/2006/relationships/hyperlink" Target="https://www.amazon.com/dp/B07BMQRNXZ/ref=psdc_2236628011_t3_B07XZ4L9WD" TargetMode="External"/><Relationship Id="rId378" Type="http://schemas.openxmlformats.org/officeDocument/2006/relationships/hyperlink" Target="http://www.ti.com/lit/an/slva444/slva444.pdf" TargetMode="External"/><Relationship Id="rId403" Type="http://schemas.openxmlformats.org/officeDocument/2006/relationships/hyperlink" Target="https://www.digikey.com/product-detail/en/on-semiconductor/LMV393DMR2G/LMV393DMR2GOSTR-ND/1973674" TargetMode="External"/><Relationship Id="rId585" Type="http://schemas.openxmlformats.org/officeDocument/2006/relationships/hyperlink" Target="https://www.digikey.com/product-detail/en/texas-instruments/TSV914AIPWR/296-52172-2-ND/8503546" TargetMode="External"/><Relationship Id="rId750" Type="http://schemas.openxmlformats.org/officeDocument/2006/relationships/hyperlink" Target="https://www.digikey.com/product-detail/en/panasonic-electronic-components/ERA-3ARB303V/P30KBDDKR-ND/3073463" TargetMode="External"/><Relationship Id="rId792" Type="http://schemas.openxmlformats.org/officeDocument/2006/relationships/hyperlink" Target="https://www.digikey.in/product-detail/en/stackpole-electronics-inc/RAVF104DJT330K/RAVF104DJT330K-ND/2416644" TargetMode="External"/><Relationship Id="rId806" Type="http://schemas.openxmlformats.org/officeDocument/2006/relationships/hyperlink" Target="https://www.digikey.com/product-detail/en/texas-instruments/LM5163QDDARQ1/296-53561-2-ND/10273203" TargetMode="External"/><Relationship Id="rId6" Type="http://schemas.openxmlformats.org/officeDocument/2006/relationships/hyperlink" Target="https://en.wikipedia.org/wiki/Zero-energy_building" TargetMode="External"/><Relationship Id="rId238" Type="http://schemas.openxmlformats.org/officeDocument/2006/relationships/hyperlink" Target="http://www.ti.com/tool/TIDM-SOLAR-DCDC?keyMatch=SOLAR&amp;tisearch=Search-EN-everything" TargetMode="External"/><Relationship Id="rId445" Type="http://schemas.openxmlformats.org/officeDocument/2006/relationships/hyperlink" Target="https://www.infineon.com/dgdl/Infineon-Application-power-conversion-power-management-Bus-PMBus-TR-v01_00-EN.pdf?fileId=5546d4625607bd1301564f46c4845cdb" TargetMode="External"/><Relationship Id="rId487" Type="http://schemas.openxmlformats.org/officeDocument/2006/relationships/hyperlink" Target="https://www.pv-tech.org/editors-blog/top-10-solar-module-suppliers-in-2018" TargetMode="External"/><Relationship Id="rId610" Type="http://schemas.openxmlformats.org/officeDocument/2006/relationships/hyperlink" Target="https://www.digikey.com/product-detail/en/stmicroelectronics/LDK220C-R/497-15437-2-ND/5237150" TargetMode="External"/><Relationship Id="rId652" Type="http://schemas.openxmlformats.org/officeDocument/2006/relationships/hyperlink" Target="https://www.corning.com/worldwide/en/innovation/corning-emerging-innovations/corning-willow-glass.html" TargetMode="External"/><Relationship Id="rId694" Type="http://schemas.openxmlformats.org/officeDocument/2006/relationships/hyperlink" Target="https://www.digikey.com/product-detail/en/signal-transformer/SCRH125-471/SCRH125-471-ND/2778969" TargetMode="External"/><Relationship Id="rId708" Type="http://schemas.openxmlformats.org/officeDocument/2006/relationships/hyperlink" Target="https://www.digikey.com/product-detail/en/diodes-incorporated/BC847BS-7-F/BC847BS-7FDITR-ND/1934453" TargetMode="External"/><Relationship Id="rId291" Type="http://schemas.openxmlformats.org/officeDocument/2006/relationships/hyperlink" Target="https://www.solaredge.com/sites/default/files/se-p-series-commercial-add-on-power-optimizer-datasheet.pdf" TargetMode="External"/><Relationship Id="rId305" Type="http://schemas.openxmlformats.org/officeDocument/2006/relationships/hyperlink" Target="https://www.digikey.com/product-detail/en/nexperia-usa-inc/PMEG10010ELRX/1727-2394-2-ND/5436248" TargetMode="External"/><Relationship Id="rId347" Type="http://schemas.openxmlformats.org/officeDocument/2006/relationships/hyperlink" Target="https://www.electronics-tutorials.ws/capacitor/cap_1.html" TargetMode="External"/><Relationship Id="rId512" Type="http://schemas.openxmlformats.org/officeDocument/2006/relationships/hyperlink" Target="https://www.st.com/content/ccc/resource/technical/document/datasheet/b9/d8/3b/8f/a1/8f/46/01/CD00079372.pdf/files/CD00079372.pdf/jcr:content/translations/en.CD00079372.pdf" TargetMode="External"/><Relationship Id="rId44" Type="http://schemas.openxmlformats.org/officeDocument/2006/relationships/hyperlink" Target="https://www.nrel.gov/pv/" TargetMode="External"/><Relationship Id="rId86" Type="http://schemas.openxmlformats.org/officeDocument/2006/relationships/hyperlink" Target="http://www.ti.com/amplifier-circuit/current-sense/analog-output/products.html" TargetMode="External"/><Relationship Id="rId151" Type="http://schemas.openxmlformats.org/officeDocument/2006/relationships/hyperlink" Target="https://www.digikey.com/product-detail/en/toshiba-semiconductor-and-storage/TLP152-TPLE/TLP152-TPLETR-ND/4562827" TargetMode="External"/><Relationship Id="rId389" Type="http://schemas.openxmlformats.org/officeDocument/2006/relationships/hyperlink" Target="https://www.digikey.com/product-detail/en/recom-power/RFM-0505S/945-3159-ND/8550767" TargetMode="External"/><Relationship Id="rId554" Type="http://schemas.openxmlformats.org/officeDocument/2006/relationships/hyperlink" Target="https://www.st.com/content/st_com/en/support/resources/edesign.html" TargetMode="External"/><Relationship Id="rId596" Type="http://schemas.openxmlformats.org/officeDocument/2006/relationships/hyperlink" Target="https://www.planetanalog.com/stability-issues-and-resolutions-for-high-speed-voltage-feedback-op-amps-insight-6/" TargetMode="External"/><Relationship Id="rId761" Type="http://schemas.openxmlformats.org/officeDocument/2006/relationships/hyperlink" Target="https://media.digikey.com/pdf/Data%20Sheets/Lattice%20PDFs/MachXO3L_StarterKit_UG.pdf" TargetMode="External"/><Relationship Id="rId817" Type="http://schemas.openxmlformats.org/officeDocument/2006/relationships/hyperlink" Target="https://www.digikey.com/product-detail/en/texas-instruments/TS5A9411DCKR/296-22731-2-ND/1739550" TargetMode="External"/><Relationship Id="rId193" Type="http://schemas.openxmlformats.org/officeDocument/2006/relationships/hyperlink" Target="https://media.digikey.com/pdf/Data%20Sheets/Bergquist%20PDFs/ThermalCladSelectionGuide.pdf" TargetMode="External"/><Relationship Id="rId207" Type="http://schemas.openxmlformats.org/officeDocument/2006/relationships/hyperlink" Target="http://www.ti.com/power-management/non-isolated-dc-dc-switching-regulators/step-up-boost/products.html" TargetMode="External"/><Relationship Id="rId249" Type="http://schemas.openxmlformats.org/officeDocument/2006/relationships/hyperlink" Target="http://www.ti.com/lit/ug/tiduay6d/tiduay6d.pdf" TargetMode="External"/><Relationship Id="rId414" Type="http://schemas.openxmlformats.org/officeDocument/2006/relationships/hyperlink" Target="https://www.digikey.com/product-detail/en/micro-commercial-co/MMBTA13-TP/1505-MMBTA13-TPTR-CHP/4765962" TargetMode="External"/><Relationship Id="rId456" Type="http://schemas.openxmlformats.org/officeDocument/2006/relationships/hyperlink" Target="http://www.latticesemi.com/en/Products/DesignSoftwareAndIP/IntellectualProperty/ReferenceDesigns/ReferenceDesigns02/SPIGPIOExpander" TargetMode="External"/><Relationship Id="rId498" Type="http://schemas.openxmlformats.org/officeDocument/2006/relationships/hyperlink" Target="https://www.digikey.com/product-detail/en/recom-power/R1SE-0505-R/945-1659-2-ND/3593408" TargetMode="External"/><Relationship Id="rId621" Type="http://schemas.openxmlformats.org/officeDocument/2006/relationships/hyperlink" Target="http://weblib.samsungsem.com/mlcc/mlcc-ec.do" TargetMode="External"/><Relationship Id="rId663" Type="http://schemas.openxmlformats.org/officeDocument/2006/relationships/hyperlink" Target="https://www.digikey.com/product-detail/en/texas-instruments/LMV794MAX-NOPB/296-44291-2-ND/1840736" TargetMode="External"/><Relationship Id="rId13" Type="http://schemas.openxmlformats.org/officeDocument/2006/relationships/hyperlink" Target="http://www.powerknot.com/2011/03/01/cops-eers-and-seers/" TargetMode="External"/><Relationship Id="rId109" Type="http://schemas.openxmlformats.org/officeDocument/2006/relationships/hyperlink" Target="https://www.solaris-shop.com/content/Longi%20LR6-60HPB-305M%20Specs.pdf" TargetMode="External"/><Relationship Id="rId260" Type="http://schemas.openxmlformats.org/officeDocument/2006/relationships/hyperlink" Target="http://www.calculatoredge.com/electronics/ch%20pi%20low%20pass.htm" TargetMode="External"/><Relationship Id="rId316" Type="http://schemas.openxmlformats.org/officeDocument/2006/relationships/hyperlink" Target="https://www.digikey.com/product-detail/en/infineon-technologies/BSC117N08NS5ATMA1/BSC117N08NS5ATMA1TR-ND/5959917" TargetMode="External"/><Relationship Id="rId523" Type="http://schemas.openxmlformats.org/officeDocument/2006/relationships/hyperlink" Target="https://www.digikey.com/product-detail/en/texas-instruments/CD4050BPWR/296-31504-2-ND/1691144" TargetMode="External"/><Relationship Id="rId719" Type="http://schemas.openxmlformats.org/officeDocument/2006/relationships/hyperlink" Target="https://www.digikey.com/product-detail/en/nexperia-usa-inc/PMEG10010ELRX/1727-2394-2-ND/5436248" TargetMode="External"/><Relationship Id="rId55" Type="http://schemas.openxmlformats.org/officeDocument/2006/relationships/hyperlink" Target="https://marsrock.en.alibaba.com/product/1949287232-811636827/New_design_Waterproof_IP67_260W_22_50VDC_grid_tie_micro_inverter_with_communication_function_working_for_200_300W_PV_module.html" TargetMode="External"/><Relationship Id="rId97" Type="http://schemas.openxmlformats.org/officeDocument/2006/relationships/hyperlink" Target="https://www.digikey.com/product-detail/en/diodes-incorporated/SDT30B100D1-13/SDT30B100D1-13DITR-ND/7667006" TargetMode="External"/><Relationship Id="rId120" Type="http://schemas.openxmlformats.org/officeDocument/2006/relationships/hyperlink" Target="https://www.digikey.com/product-detail/en/texas-instruments/LM5050MKX-1-NOPB/296-46427-2-ND/2753640" TargetMode="External"/><Relationship Id="rId358" Type="http://schemas.openxmlformats.org/officeDocument/2006/relationships/hyperlink" Target="https://www.edn.com/sheet-resistance-of-copper-foil-rule-of-thumb-13/" TargetMode="External"/><Relationship Id="rId565" Type="http://schemas.openxmlformats.org/officeDocument/2006/relationships/hyperlink" Target="https://fscdn.rohm.com/en/products/databook/applinote/ic/power/input-filter-for-dcdc-converter_an-e.pdf" TargetMode="External"/><Relationship Id="rId730" Type="http://schemas.openxmlformats.org/officeDocument/2006/relationships/hyperlink" Target="https://www.digikey.com/product-detail/en/eaton-electronics-division/HCM1A1307V2-560-R/283-HCM1A1307V2-560-RTR-ND/10479031" TargetMode="External"/><Relationship Id="rId772" Type="http://schemas.openxmlformats.org/officeDocument/2006/relationships/hyperlink" Target="http://www.penn-eng.com/bulletins_A4/kdata_A4.pdf" TargetMode="External"/><Relationship Id="rId828" Type="http://schemas.openxmlformats.org/officeDocument/2006/relationships/printerSettings" Target="../printerSettings/printerSettings1.bin"/><Relationship Id="rId162" Type="http://schemas.openxmlformats.org/officeDocument/2006/relationships/hyperlink" Target="https://www.eetimes.com/a-primer-on-high-side-fet-load-switches-part-1-of-2/" TargetMode="External"/><Relationship Id="rId218" Type="http://schemas.openxmlformats.org/officeDocument/2006/relationships/hyperlink" Target="http://e2e.ti.com/blogs_/b/powerhouse/archive/2018/09/17/how-to-add-overvoltage-protection-to-a-synchronous-boost-controller" TargetMode="External"/><Relationship Id="rId425" Type="http://schemas.openxmlformats.org/officeDocument/2006/relationships/hyperlink" Target="https://www.mouser.com/ProductDetail/Infineon-Technologies/KIT_XMC42_EE1_001?qs=sGAEpiMZZMtw0nEwywcFgEGMWnGditqEr%252B8rK%2FgleCWToYxWgkbprA%3D%3D" TargetMode="External"/><Relationship Id="rId467" Type="http://schemas.openxmlformats.org/officeDocument/2006/relationships/hyperlink" Target="https://dspace.mit.edu/bitstream/handle/1721.1/120371/1084270179-MIT.pdf?sequence=1&amp;isAllowed=y" TargetMode="External"/><Relationship Id="rId632" Type="http://schemas.openxmlformats.org/officeDocument/2006/relationships/hyperlink" Target="https://www.digikey.com/product-detail/en/texas-instruments/SN74LV4053APWR/296-3833-2-ND/374753" TargetMode="External"/><Relationship Id="rId271" Type="http://schemas.openxmlformats.org/officeDocument/2006/relationships/hyperlink" Target="http://wineyard.in/Abstract/mtech/Embedded/bp/13EM20.pdf" TargetMode="External"/><Relationship Id="rId674" Type="http://schemas.openxmlformats.org/officeDocument/2006/relationships/hyperlink" Target="https://www.digikey.com/product-detail/en/toshiba-semiconductor-and-storage/74VHC4052AFT-BJ/74VHC4052AFT-BJ-TR-ND/7394042" TargetMode="External"/><Relationship Id="rId24" Type="http://schemas.openxmlformats.org/officeDocument/2006/relationships/hyperlink" Target="https://en.wikipedia.org/wiki/Net_metering" TargetMode="External"/><Relationship Id="rId66" Type="http://schemas.openxmlformats.org/officeDocument/2006/relationships/hyperlink" Target="https://www.digikey.com/product-detail/en/riedon/CSRL3-0R001F8/696-1834-2-ND/9666049" TargetMode="External"/><Relationship Id="rId131" Type="http://schemas.openxmlformats.org/officeDocument/2006/relationships/hyperlink" Target="https://www.digikey.com/product-detail/en/stmicroelectronics/LD3985M29R/LD3985M29R-ND/1038440" TargetMode="External"/><Relationship Id="rId327" Type="http://schemas.openxmlformats.org/officeDocument/2006/relationships/hyperlink" Target="https://www.maximintegrated.com/cn/design/technical-documents/app-notes/6/669.html" TargetMode="External"/><Relationship Id="rId369" Type="http://schemas.openxmlformats.org/officeDocument/2006/relationships/hyperlink" Target="https://www.digikey.com/product-detail/en/on-semiconductor/NCS20034DR2G/NCS20034DR2GOSTR-ND/5267860" TargetMode="External"/><Relationship Id="rId534" Type="http://schemas.openxmlformats.org/officeDocument/2006/relationships/hyperlink" Target="https://www.digikey.com/product-detail/en/analog-devices-inc/AD7171BCPZ-REEL7/AD7171BCPZ-REEL7TR-ND/2260938" TargetMode="External"/><Relationship Id="rId576" Type="http://schemas.openxmlformats.org/officeDocument/2006/relationships/hyperlink" Target="https://infineon.poweresim.com/" TargetMode="External"/><Relationship Id="rId741" Type="http://schemas.openxmlformats.org/officeDocument/2006/relationships/hyperlink" Target="https://www.digikey.com/products/en?keywords=RMCF1206FG1R50" TargetMode="External"/><Relationship Id="rId783" Type="http://schemas.openxmlformats.org/officeDocument/2006/relationships/hyperlink" Target="https://www.nrel.gov/analysis/solar-cost-analysis.html" TargetMode="External"/><Relationship Id="rId173" Type="http://schemas.openxmlformats.org/officeDocument/2006/relationships/hyperlink" Target="https://www.energysage.com/solar/101/string-inverters-microinverters-power-optimizers/" TargetMode="External"/><Relationship Id="rId229" Type="http://schemas.openxmlformats.org/officeDocument/2006/relationships/hyperlink" Target="http://www.ti.com/lit/ug/sbou052a/sbou052a.pdf" TargetMode="External"/><Relationship Id="rId380" Type="http://schemas.openxmlformats.org/officeDocument/2006/relationships/hyperlink" Target="http://www.ti.com/tool/PMP6838" TargetMode="External"/><Relationship Id="rId436" Type="http://schemas.openxmlformats.org/officeDocument/2006/relationships/hyperlink" Target="https://www.infineon.com/dgdl/Infineon-XMC_DigitalPowerExplorer_GettingStarted-GS-v01_00-EN.pdf?fileId=5546d4625185e0e201518c0d45c13e50" TargetMode="External"/><Relationship Id="rId601" Type="http://schemas.openxmlformats.org/officeDocument/2006/relationships/hyperlink" Target="https://www.digikey.com/product-detail/en/panasonic-electronic-components/ERA-3ARW103V/P10KBETR-ND/3073684" TargetMode="External"/><Relationship Id="rId643" Type="http://schemas.openxmlformats.org/officeDocument/2006/relationships/hyperlink" Target="https://www.digikey.com/product-detail/en/panasonic-electronic-components/ERA-6AEB105V/P1MDATR-ND/1465821" TargetMode="External"/><Relationship Id="rId240" Type="http://schemas.openxmlformats.org/officeDocument/2006/relationships/hyperlink" Target="http://www.ti.com/lit/ug/tidu404/tidu404.pdf" TargetMode="External"/><Relationship Id="rId478" Type="http://schemas.openxmlformats.org/officeDocument/2006/relationships/hyperlink" Target="https://www.diodes.com/assets/Datasheets/DGD2190M.pdf" TargetMode="External"/><Relationship Id="rId685" Type="http://schemas.openxmlformats.org/officeDocument/2006/relationships/hyperlink" Target="https://www.digikey.com/product-detail/en/samsung-electro-mechanics/CL10C030BB8NNNC/1276-2125-2-ND/3887783" TargetMode="External"/><Relationship Id="rId35" Type="http://schemas.openxmlformats.org/officeDocument/2006/relationships/hyperlink" Target="https://en.wikipedia.org/wiki/National_Renewable_Energy_Laboratory" TargetMode="External"/><Relationship Id="rId77" Type="http://schemas.openxmlformats.org/officeDocument/2006/relationships/hyperlink" Target="https://www.digikey.com/product-detail/en/stmicroelectronics/TSV994IPT/497-6003-2-ND/1578407" TargetMode="External"/><Relationship Id="rId100" Type="http://schemas.openxmlformats.org/officeDocument/2006/relationships/hyperlink" Target="https://www.digikey.com/product-detail/en/taiwan-semiconductor-corporation/S10JCHM6G/S10JCHM6G-ND/7369660" TargetMode="External"/><Relationship Id="rId282" Type="http://schemas.openxmlformats.org/officeDocument/2006/relationships/hyperlink" Target="https://www.pv-magazine.com/2019/11/27/german-court-rules-in-favor-of-huawei-on-one-of-two-solaredge-patent-claims/" TargetMode="External"/><Relationship Id="rId338" Type="http://schemas.openxmlformats.org/officeDocument/2006/relationships/hyperlink" Target="https://www.digikey.com/product-detail/en/on-semiconductor/BZX84C15LT3G/BZX84C15LT3GOSTR-ND/1476313" TargetMode="External"/><Relationship Id="rId503" Type="http://schemas.openxmlformats.org/officeDocument/2006/relationships/hyperlink" Target="https://www.digikey.com/product-detail/en/samtec-inc/MTSW-136-11-G-S-240/MTSW-136-11-G-S-240-ND/8198089" TargetMode="External"/><Relationship Id="rId545" Type="http://schemas.openxmlformats.org/officeDocument/2006/relationships/hyperlink" Target="https://www.infineon.com/cms/en/tools/solution-finder/product-finder/simulation-model/?filterValues=~(PRODUCT_FILTER~%27IRS)&amp;visibleColumnIds=name,productStatusInfo,724,2c803337c8bf4224ab0f03561e1c0e7c,5546d4624f205c9a014f3c76a4f51d29,722,496_nom,496_max,618" TargetMode="External"/><Relationship Id="rId587" Type="http://schemas.openxmlformats.org/officeDocument/2006/relationships/hyperlink" Target="https://www.digikey.com/product-detail/en/yageo/RT1206FRD071ML/RT1206FRD071ML-ND/5938451" TargetMode="External"/><Relationship Id="rId710" Type="http://schemas.openxmlformats.org/officeDocument/2006/relationships/hyperlink" Target="https://www.digikey.com/product-detail/en/nexperia-usa-inc/BAV99-235/1727-4311-2-ND/1232158" TargetMode="External"/><Relationship Id="rId752" Type="http://schemas.openxmlformats.org/officeDocument/2006/relationships/hyperlink" Target="https://www.digikey.com/product-detail/en/murata-electronics/NCU15XH103F60RC/490-18149-2-ND/9686714" TargetMode="External"/><Relationship Id="rId808" Type="http://schemas.openxmlformats.org/officeDocument/2006/relationships/hyperlink" Target="https://www.digikey.com/product-detail/en/on-semiconductor/BC856BLT3G/BC856BLT3GOSTR-ND/1476062" TargetMode="External"/><Relationship Id="rId8" Type="http://schemas.openxmlformats.org/officeDocument/2006/relationships/hyperlink" Target="https://www.youtube.com/watch?v=st-Gd1ZcFyM&amp;feature=youtu.be" TargetMode="External"/><Relationship Id="rId142" Type="http://schemas.openxmlformats.org/officeDocument/2006/relationships/hyperlink" Target="https://www.infineon.com/cms/en/product/packages/PG-VQFN/PG-VQFN-48-31/" TargetMode="External"/><Relationship Id="rId184" Type="http://schemas.openxmlformats.org/officeDocument/2006/relationships/hyperlink" Target="https://www.engineering.com/calculators/beams.htm" TargetMode="External"/><Relationship Id="rId391" Type="http://schemas.openxmlformats.org/officeDocument/2006/relationships/hyperlink" Target="https://www.digikey.com/product-detail/en/monolithic-power-systems-inc/MPM3805GQB-33-Z/1589-1986-2-ND/5292918" TargetMode="External"/><Relationship Id="rId405" Type="http://schemas.openxmlformats.org/officeDocument/2006/relationships/hyperlink" Target="https://www.infineon.com/dgdl/Infineon-XMC4100_XMC4200_DS-DS-v01_04-EN.pdf?fileId=5546d462696dbf120169817056f938ff" TargetMode="External"/><Relationship Id="rId447" Type="http://schemas.openxmlformats.org/officeDocument/2006/relationships/hyperlink" Target="https://www.infineon.com/dgdl/Infineon-IP_CCU4_XMC-TR-v01_02-EN.pdf?fileId=5546d4624ad04ef9014b0780bb082263" TargetMode="External"/><Relationship Id="rId612" Type="http://schemas.openxmlformats.org/officeDocument/2006/relationships/hyperlink" Target="https://www.digikey.com/product-detail/en/texas-instruments/TPS561201DDCR/296-47885-2-ND/7312149" TargetMode="External"/><Relationship Id="rId794" Type="http://schemas.openxmlformats.org/officeDocument/2006/relationships/hyperlink" Target="https://www.digikey.com/product-detail/en/susumu/RR0816P-202-D/RR08P2-0KDTR-ND/432192" TargetMode="External"/><Relationship Id="rId251" Type="http://schemas.openxmlformats.org/officeDocument/2006/relationships/hyperlink" Target="http://www.ti.com/product/TPS40060/toolssoftware" TargetMode="External"/><Relationship Id="rId489" Type="http://schemas.openxmlformats.org/officeDocument/2006/relationships/hyperlink" Target="https://news.energysage.com/solar-panels-hail-hurricanes/" TargetMode="External"/><Relationship Id="rId654" Type="http://schemas.openxmlformats.org/officeDocument/2006/relationships/hyperlink" Target="https://www.thesolarnerd.com/blog/can-solar-panels-be-damaged-by-hail/" TargetMode="External"/><Relationship Id="rId696" Type="http://schemas.openxmlformats.org/officeDocument/2006/relationships/hyperlink" Target="https://www.digikey.com/product-detail/en/kemet/C0603C470J1GACTU/399-7917-2-ND/2200767" TargetMode="External"/><Relationship Id="rId46" Type="http://schemas.openxmlformats.org/officeDocument/2006/relationships/hyperlink" Target="https://www.energy.gov/articles/department-energy-announces-130-million-early-stage-solar-research-project" TargetMode="External"/><Relationship Id="rId293" Type="http://schemas.openxmlformats.org/officeDocument/2006/relationships/hyperlink" Target="https://www.digikey.com/product-detail/en/smc-diode-solutions/1SMA4762TR/1SMA4762TRSMC-ND/5993069" TargetMode="External"/><Relationship Id="rId307" Type="http://schemas.openxmlformats.org/officeDocument/2006/relationships/hyperlink" Target="https://www.digikey.com/product-detail/en/on-semiconductor/BAS16LT3G/BAS16LT3GOSTR-ND/1475465" TargetMode="External"/><Relationship Id="rId349" Type="http://schemas.openxmlformats.org/officeDocument/2006/relationships/hyperlink" Target="http://ksim.kemet.com/Ceramic/CeramicCapSelection.aspx" TargetMode="External"/><Relationship Id="rId514" Type="http://schemas.openxmlformats.org/officeDocument/2006/relationships/hyperlink" Target="http://www.ti.com/lit/ds/symlink/tlv272.pdf" TargetMode="External"/><Relationship Id="rId556" Type="http://schemas.openxmlformats.org/officeDocument/2006/relationships/hyperlink" Target="https://www.digikey.com/product-detail/en/infineon-technologies/1ED44175N01BXTSA1/448-1ED44175N01BXTSA1TR-ND/11487556" TargetMode="External"/><Relationship Id="rId721" Type="http://schemas.openxmlformats.org/officeDocument/2006/relationships/hyperlink" Target="https://www.digikey.com/product-detail/en/samsung-electro-mechanics/CL10B102KB8WPNC/1276-6838-2-ND/5961322" TargetMode="External"/><Relationship Id="rId763" Type="http://schemas.openxmlformats.org/officeDocument/2006/relationships/hyperlink" Target="https://media.digikey.com/pdf/Data%20Sheets/Lattice%20PDFs/MachXO3L_StarterKit_UG.pdf" TargetMode="External"/><Relationship Id="rId88" Type="http://schemas.openxmlformats.org/officeDocument/2006/relationships/hyperlink" Target="http://www.ti.com/product/INA293-Q1?keyMatch=INA29&amp;tisearch=Search-EN-everything" TargetMode="External"/><Relationship Id="rId111" Type="http://schemas.openxmlformats.org/officeDocument/2006/relationships/hyperlink" Target="https://www.digikey.com/product-detail/en/samsung-electro-mechanics/CL31B106KAHNNNE/1276-1804-2-ND/3887462" TargetMode="External"/><Relationship Id="rId153" Type="http://schemas.openxmlformats.org/officeDocument/2006/relationships/hyperlink" Target="https://www.digikey.com/product-detail/en/microchip-technology/TC1240AECHTR/TC1240AECHTR-ND/443324" TargetMode="External"/><Relationship Id="rId195" Type="http://schemas.openxmlformats.org/officeDocument/2006/relationships/hyperlink" Target="http://www.ti.com/lit/ds/symlink/lm74700-q1.pdf" TargetMode="External"/><Relationship Id="rId209" Type="http://schemas.openxmlformats.org/officeDocument/2006/relationships/hyperlink" Target="http://www.ti.com/lit/ug/ssqu008a/ssqu008a.pdf" TargetMode="External"/><Relationship Id="rId360" Type="http://schemas.openxmlformats.org/officeDocument/2006/relationships/hyperlink" Target="https://www.digikey.com/product-detail/en/microchip-technology/MCP6N11T-010E-MNY/MCP6N11T-010E-MNYTR-ND/2775791" TargetMode="External"/><Relationship Id="rId416" Type="http://schemas.openxmlformats.org/officeDocument/2006/relationships/hyperlink" Target="https://www.digikey.com/product-detail/en/micro-commercial-co/MMDT5551-TP/MMDT5551-TPTR-ND/819645" TargetMode="External"/><Relationship Id="rId598" Type="http://schemas.openxmlformats.org/officeDocument/2006/relationships/hyperlink" Target="http://www.vishay.com/docs/69685/dg4051e.pdf" TargetMode="External"/><Relationship Id="rId819" Type="http://schemas.openxmlformats.org/officeDocument/2006/relationships/hyperlink" Target="https://www.digikey.com/product-detail/en/samsung-electro-mechanics/CL10C030BB8NNNC/1276-2125-2-ND/3887783" TargetMode="External"/><Relationship Id="rId220" Type="http://schemas.openxmlformats.org/officeDocument/2006/relationships/hyperlink" Target="https://www.digikey.com/product-detail/en/skyworks-solutions-inc/AAT1230ITP-T1/1287-AAT1230ITP-T1-CHP/3788713" TargetMode="External"/><Relationship Id="rId458" Type="http://schemas.openxmlformats.org/officeDocument/2006/relationships/hyperlink" Target="http://www.latticesemi.com/latticediamond" TargetMode="External"/><Relationship Id="rId623" Type="http://schemas.openxmlformats.org/officeDocument/2006/relationships/hyperlink" Target="https://www.digikey.com/product-detail/en/texas-instruments/LM337LMX-NOPB/LM337LMX-NOPBTR-ND/334905" TargetMode="External"/><Relationship Id="rId665" Type="http://schemas.openxmlformats.org/officeDocument/2006/relationships/hyperlink" Target="https://www.bourns.com/docs/product-datasheets/sot23-5.pdf?sfvrsn=266991f1_1" TargetMode="External"/><Relationship Id="rId15" Type="http://schemas.openxmlformats.org/officeDocument/2006/relationships/hyperlink" Target="https://en.wikipedia.org/wiki/Hot_water_storage_tank" TargetMode="External"/><Relationship Id="rId57" Type="http://schemas.openxmlformats.org/officeDocument/2006/relationships/hyperlink" Target="https://www.energy.gov/eere/downloads/office-energy-efficiency-and-renewable-energy-organization-chart" TargetMode="External"/><Relationship Id="rId262" Type="http://schemas.openxmlformats.org/officeDocument/2006/relationships/hyperlink" Target="http://www.alphawire.com/Home/Products/Wire/Hook-Up-Wire/Premium/461626?device=pdf" TargetMode="External"/><Relationship Id="rId318" Type="http://schemas.openxmlformats.org/officeDocument/2006/relationships/hyperlink" Target="https://www.digikey.com/product-detail/en/epc/EPC2045/917-1186-2-ND/7652576" TargetMode="External"/><Relationship Id="rId525" Type="http://schemas.openxmlformats.org/officeDocument/2006/relationships/hyperlink" Target="https://www.digikey.com/product-detail/en/ixys-integrated-circuits-division/IXDD609D2TR/IXDD609D2TR-ND/2521817" TargetMode="External"/><Relationship Id="rId567" Type="http://schemas.openxmlformats.org/officeDocument/2006/relationships/hyperlink" Target="https://fscdn.rohm.com/en/products/databook/applinote/ic/power/sw_method_for_monitoring_switching_waveform_an-e.pdf" TargetMode="External"/><Relationship Id="rId732" Type="http://schemas.openxmlformats.org/officeDocument/2006/relationships/hyperlink" Target="https://www.digikey.com/product-detail/en/diodes-incorporated/DMG2302UK-13/DMG2302UK-13-ND/6187259" TargetMode="External"/><Relationship Id="rId99" Type="http://schemas.openxmlformats.org/officeDocument/2006/relationships/hyperlink" Target="https://www.digikey.com/product-detail/en/riedon/CSRL3-0R02F8/696-1840-2-ND/9666055" TargetMode="External"/><Relationship Id="rId122" Type="http://schemas.openxmlformats.org/officeDocument/2006/relationships/hyperlink" Target="https://www.digikey.com/product-detail/en/sumida-america-components-inc/CDEP147NP-4R5MC-125/CDEP147NP-4R5MC-125-ND/4038406" TargetMode="External"/><Relationship Id="rId164" Type="http://schemas.openxmlformats.org/officeDocument/2006/relationships/hyperlink" Target="https://www.st.com/content/ccc/resource/technical/document/datasheet/05/ed/8f/a6/38/22/4b/2a/CD00164671.pdf/files/CD00164671.pdf/jcr:content/translations/en.CD00164671.pdf" TargetMode="External"/><Relationship Id="rId371" Type="http://schemas.openxmlformats.org/officeDocument/2006/relationships/hyperlink" Target="http://www.ti.com/lit/an/sboa097b/sboa097b.pdf" TargetMode="External"/><Relationship Id="rId774" Type="http://schemas.openxmlformats.org/officeDocument/2006/relationships/hyperlink" Target="https://www.analog.com/en/technical-articles/ideal-diode-combines-200v-busses.html" TargetMode="External"/><Relationship Id="rId427" Type="http://schemas.openxmlformats.org/officeDocument/2006/relationships/hyperlink" Target="https://www.arrow.com/en/products/kitxmcdpexp01tobo1/infineon-technologies-ag" TargetMode="External"/><Relationship Id="rId469" Type="http://schemas.openxmlformats.org/officeDocument/2006/relationships/hyperlink" Target="https://www.digikey.com/product-detail/en/lattice-semiconductor-corporation/LCMXO3L-6900C-S-EVN/220-1935-ND/5039065" TargetMode="External"/><Relationship Id="rId634" Type="http://schemas.openxmlformats.org/officeDocument/2006/relationships/hyperlink" Target="https://www.digikey.com/product-detail/en/texas-instruments/OPA2330AIDR/296-25305-2-ND/2179352" TargetMode="External"/><Relationship Id="rId676" Type="http://schemas.openxmlformats.org/officeDocument/2006/relationships/hyperlink" Target="https://www.digikey.com/product-detail/en/susumu/RR0816P-103-D/RR08P10-0KDTR-ND/432209" TargetMode="External"/><Relationship Id="rId26" Type="http://schemas.openxmlformats.org/officeDocument/2006/relationships/hyperlink" Target="https://www.globalenergyinstitute.org/map-2018-average-electricity-retail-prices" TargetMode="External"/><Relationship Id="rId231" Type="http://schemas.openxmlformats.org/officeDocument/2006/relationships/hyperlink" Target="http://www.ti.com/lit/sg/slyb194d/slyb194d.pdf" TargetMode="External"/><Relationship Id="rId273" Type="http://schemas.openxmlformats.org/officeDocument/2006/relationships/hyperlink" Target="https://www.researchgate.net/profile/Souhib_Harb/publication/271553566_Microinverter_and_string_inverter_grid-connected_photovoltaic_system_-_A_comprehensive_study/links/5594cf0d08ae793d1379a158/Microinverter-and-string-inverter-grid-connected-photovoltaic-system-A-comprehensive-study.pdf" TargetMode="External"/><Relationship Id="rId329" Type="http://schemas.openxmlformats.org/officeDocument/2006/relationships/hyperlink" Target="https://www.analog.com/en/products/power-management/inductorless-charge-pump-dc-dc-converters.html" TargetMode="External"/><Relationship Id="rId480" Type="http://schemas.openxmlformats.org/officeDocument/2006/relationships/hyperlink" Target="http://www.ti.com/lit/ds/symlink/ucc27714.pdf" TargetMode="External"/><Relationship Id="rId536" Type="http://schemas.openxmlformats.org/officeDocument/2006/relationships/hyperlink" Target="https://www.digikey.com/product-detail/en/infineon-technologies/IRS2186STRPBF/IRS2186STRPBFTR-ND/1300640" TargetMode="External"/><Relationship Id="rId701" Type="http://schemas.openxmlformats.org/officeDocument/2006/relationships/hyperlink" Target="https://www.digikey.com/product-detail/en/panasonic-electronic-components/ERJ-6LWJR005V/P19191TR-ND/6004274" TargetMode="External"/><Relationship Id="rId68" Type="http://schemas.openxmlformats.org/officeDocument/2006/relationships/hyperlink" Target="https://www.digikey.com/product-detail/en/on-semiconductor/NLVAST4051DTR2G/NLVAST4051DTR2G-ND/5845526" TargetMode="External"/><Relationship Id="rId133" Type="http://schemas.openxmlformats.org/officeDocument/2006/relationships/hyperlink" Target="https://www.maximintegrated.com/en/design/packaging/package-information.html?a=1&amp;f=" TargetMode="External"/><Relationship Id="rId175" Type="http://schemas.openxmlformats.org/officeDocument/2006/relationships/hyperlink" Target="https://www.solaredge.com/sites/default/files/solaredge-communication_options_application_note_v2_250_and_above.pdf" TargetMode="External"/><Relationship Id="rId340" Type="http://schemas.openxmlformats.org/officeDocument/2006/relationships/hyperlink" Target="https://www.nutsvolts.com/magazine/article/op-amp-cookbook-part-4" TargetMode="External"/><Relationship Id="rId578" Type="http://schemas.openxmlformats.org/officeDocument/2006/relationships/hyperlink" Target="http://www.ti.com/lit/ds/snvsb32a/snvsb32a.pdf" TargetMode="External"/><Relationship Id="rId743" Type="http://schemas.openxmlformats.org/officeDocument/2006/relationships/hyperlink" Target="https://www.digikey.com/product-detail/en/stackpole-electronics-inc/RMCF1206FG100K/RMCF1206FG100K-ND/1759124" TargetMode="External"/><Relationship Id="rId785" Type="http://schemas.openxmlformats.org/officeDocument/2006/relationships/hyperlink" Target="https://www.digikey.com/product-detail/en/stackpole-electronics-inc/RMCF0603FT10R0/RMCF0603FT10R0TR-ND/1761152" TargetMode="External"/><Relationship Id="rId200" Type="http://schemas.openxmlformats.org/officeDocument/2006/relationships/hyperlink" Target="https://www.digikey.com/product-detail/en/maxim-integrated/MAX9030AUT-T/MAX9030AUT-TTR-ND/1498280" TargetMode="External"/><Relationship Id="rId382" Type="http://schemas.openxmlformats.org/officeDocument/2006/relationships/hyperlink" Target="http://www.ti.com/tool/PMP4461" TargetMode="External"/><Relationship Id="rId438" Type="http://schemas.openxmlformats.org/officeDocument/2006/relationships/hyperlink" Target="https://www.infineon.com/dgdl/Infineon-XMC_Digital_Power_Explorer_Kit_with_XMC4200_and_XMC1300_QSG-GS-v01_01-EN.pdf?fileId=5546d462503812bb01504ba7066039b7" TargetMode="External"/><Relationship Id="rId603" Type="http://schemas.openxmlformats.org/officeDocument/2006/relationships/hyperlink" Target="https://www.digikey.com/product-detail/en/texas-instruments/TLV74133PDBVR/296-48987-2-ND/7604412" TargetMode="External"/><Relationship Id="rId645" Type="http://schemas.openxmlformats.org/officeDocument/2006/relationships/hyperlink" Target="https://www.digikey.com/product-detail/en/vishay-beyschlag/MCT06030C1005FP500/MCT0603-10-0M-CFTR-ND/2607824" TargetMode="External"/><Relationship Id="rId687" Type="http://schemas.openxmlformats.org/officeDocument/2006/relationships/hyperlink" Target="https://www.digikey.com/product-detail/en/cts-resistor-products/73L2R33J/73L2R33J-ND/7311024" TargetMode="External"/><Relationship Id="rId810" Type="http://schemas.openxmlformats.org/officeDocument/2006/relationships/hyperlink" Target="https://www.digikey.com/product-detail/en/stackpole-electronics-inc/RMCF0805FG100K/RMCF0805FG100KTR-ND/1712614" TargetMode="External"/><Relationship Id="rId242" Type="http://schemas.openxmlformats.org/officeDocument/2006/relationships/hyperlink" Target="http://www.ti.com/lit/wp/slyy143/slyy143.pdf" TargetMode="External"/><Relationship Id="rId284" Type="http://schemas.openxmlformats.org/officeDocument/2006/relationships/hyperlink" Target="https://patents.google.com/patent/US9281419B2/en?oq=9%2c281%2c419" TargetMode="External"/><Relationship Id="rId491" Type="http://schemas.openxmlformats.org/officeDocument/2006/relationships/hyperlink" Target="https://www.digikey.com/product-detail/en/diodes-incorporated/ZXGD3009DYTA/ZXGD3009DYTADITR-ND/5012616" TargetMode="External"/><Relationship Id="rId505" Type="http://schemas.openxmlformats.org/officeDocument/2006/relationships/hyperlink" Target="https://media.digikey.com/pdf/Data%20Sheets/Aavid%20Thermal%20Technologies%20PDFs/Board-Level-Heatsinks_Cat.pdf" TargetMode="External"/><Relationship Id="rId712" Type="http://schemas.openxmlformats.org/officeDocument/2006/relationships/hyperlink" Target="https://www.digikey.com/product-detail/en/recom-power/R1SE-0505-R/945-1659-2-ND/3593408" TargetMode="External"/><Relationship Id="rId37" Type="http://schemas.openxmlformats.org/officeDocument/2006/relationships/hyperlink" Target="https://www.nrel.gov/docs/fy12osti/55027.pdf" TargetMode="External"/><Relationship Id="rId79" Type="http://schemas.openxmlformats.org/officeDocument/2006/relationships/hyperlink" Target="http://www.emcohighvoltage.com/pdfs/EMCO_AN_8.pdf" TargetMode="External"/><Relationship Id="rId102" Type="http://schemas.openxmlformats.org/officeDocument/2006/relationships/hyperlink" Target="https://www.digikey.com/product-detail/en/samsung-electro-mechanics/CL32B105KCJNNWE/1276-3384-2-ND/3889042" TargetMode="External"/><Relationship Id="rId144" Type="http://schemas.openxmlformats.org/officeDocument/2006/relationships/hyperlink" Target="https://www.mouser.com/datasheet/2/427/acasat-1108558.pdf" TargetMode="External"/><Relationship Id="rId547" Type="http://schemas.openxmlformats.org/officeDocument/2006/relationships/hyperlink" Target="https://www.digikey.com/product-detail/en/infineon-technologies/2ED2182S06FXUMA1/448-2ED2182S06FXUMA1TR-ND/10822759" TargetMode="External"/><Relationship Id="rId589" Type="http://schemas.openxmlformats.org/officeDocument/2006/relationships/hyperlink" Target="https://www.digikey.com/product-detail/en/panasonic-electronic-components/ERA-6AED103V/P123794TR-ND/9373571" TargetMode="External"/><Relationship Id="rId754" Type="http://schemas.openxmlformats.org/officeDocument/2006/relationships/hyperlink" Target="https://www.infineon.com/cms/en/product/evaluation-boards/kit_xmc_plt2go_xmc4200/" TargetMode="External"/><Relationship Id="rId796" Type="http://schemas.openxmlformats.org/officeDocument/2006/relationships/hyperlink" Target="https://www.digikey.com/product-detail/en/susumu/RR0816P-113-D/RR08P11-0KDTR-ND/432210" TargetMode="External"/><Relationship Id="rId90" Type="http://schemas.openxmlformats.org/officeDocument/2006/relationships/hyperlink" Target="http://www.ti.com/lit/ds/symlink/ina293-q1.pdf" TargetMode="External"/><Relationship Id="rId186" Type="http://schemas.openxmlformats.org/officeDocument/2006/relationships/hyperlink" Target="https://en.wikipedia.org/wiki/FR-4" TargetMode="External"/><Relationship Id="rId351" Type="http://schemas.openxmlformats.org/officeDocument/2006/relationships/hyperlink" Target="https://www.digikey.com/product-detail/en/bourns-inc/SRN1060-221M/SRN1060-221MTR-ND/3821651" TargetMode="External"/><Relationship Id="rId393" Type="http://schemas.openxmlformats.org/officeDocument/2006/relationships/hyperlink" Target="https://www.digikey.com/product-detail/en/cui-inc/PEME1-S5-S3-S/102-6336-ND/10229871" TargetMode="External"/><Relationship Id="rId407" Type="http://schemas.openxmlformats.org/officeDocument/2006/relationships/hyperlink" Target="https://www.digikey.com/product-detail/en/on-semiconductor/NSI50010YT1G/NSI50010YT1GOSTR-ND/2271548" TargetMode="External"/><Relationship Id="rId449" Type="http://schemas.openxmlformats.org/officeDocument/2006/relationships/hyperlink" Target="https://www.infineon.com/dgdl/Infineon-IP_MultiController_Area_Network_MultiCAN-TR-v01_00-EN.pdf?fileId=5546d46254e133b401554de8f66b5e19" TargetMode="External"/><Relationship Id="rId614" Type="http://schemas.openxmlformats.org/officeDocument/2006/relationships/hyperlink" Target="https://spicat.avx.com/product/mlcc/chartview/0805ZC106MAT2A" TargetMode="External"/><Relationship Id="rId656" Type="http://schemas.openxmlformats.org/officeDocument/2006/relationships/hyperlink" Target="https://www.3m.com/3M/en_US/power-generation-us/solutions/solar-energy/applications/" TargetMode="External"/><Relationship Id="rId821" Type="http://schemas.openxmlformats.org/officeDocument/2006/relationships/hyperlink" Target="https://www.digikey.com/en/products/detail/on-semiconductor/NCP81075MTTXG/7931469?s=N4IgTCBcDaIHIGEAKAOAjABgOwFYCyAKgQBoDiIAugL5A" TargetMode="External"/><Relationship Id="rId211" Type="http://schemas.openxmlformats.org/officeDocument/2006/relationships/hyperlink" Target="https://www.diodes.com/assets/Datasheets/ZXTR2012K.pdf" TargetMode="External"/><Relationship Id="rId253" Type="http://schemas.openxmlformats.org/officeDocument/2006/relationships/hyperlink" Target="http://www.ti.com/product/LM5116/toolssoftware" TargetMode="External"/><Relationship Id="rId295" Type="http://schemas.openxmlformats.org/officeDocument/2006/relationships/hyperlink" Target="https://www.digikey.my/reference-designs/en/ac-dc-and-dc-dc-conversion/dc-dc-smps-single-output/1768" TargetMode="External"/><Relationship Id="rId309" Type="http://schemas.openxmlformats.org/officeDocument/2006/relationships/hyperlink" Target="https://www.youtube.com/watch?v=UjDYO53l_KM" TargetMode="External"/><Relationship Id="rId460" Type="http://schemas.openxmlformats.org/officeDocument/2006/relationships/hyperlink" Target="https://www.digikey.com/products/en/integrated-circuits-ics/interface-i-o-expanders/749" TargetMode="External"/><Relationship Id="rId516" Type="http://schemas.openxmlformats.org/officeDocument/2006/relationships/hyperlink" Target="https://www.st.com/content/ccc/resource/technical/document/datasheet/b5/7c/ad/c8/37/4f/4b/78/DM00078052.pdf/files/DM00078052.pdf/jcr:content/translations/en.DM00078052.pdf" TargetMode="External"/><Relationship Id="rId698" Type="http://schemas.openxmlformats.org/officeDocument/2006/relationships/hyperlink" Target="https://www.digikey.com/product-detail/en/taiyo-yuden/NRS4012T330MDGJ/NRS4012T330MDGJ-ND/7404165" TargetMode="External"/><Relationship Id="rId48" Type="http://schemas.openxmlformats.org/officeDocument/2006/relationships/hyperlink" Target="https://www.energy.gov/eere/solar/funding-opportunity-announcement-solar-energy-technologies-office-fiscal-year-2019" TargetMode="External"/><Relationship Id="rId113" Type="http://schemas.openxmlformats.org/officeDocument/2006/relationships/hyperlink" Target="https://www.digikey.com/product-detail/en/murata-electronics/GRM32EC72A106KE05L/490-16266-2-ND/7319245" TargetMode="External"/><Relationship Id="rId320" Type="http://schemas.openxmlformats.org/officeDocument/2006/relationships/hyperlink" Target="https://www.st.com/content/ccc/resource/technical/document/application_note/group1/2f/0a/f5/ab/ad/b1/42/5e/DM00628522/files/DM00628522.pdf/jcr:content/translations/en.DM00628522.pdf" TargetMode="External"/><Relationship Id="rId558" Type="http://schemas.openxmlformats.org/officeDocument/2006/relationships/hyperlink" Target="http://clareweb1.ixysic.com/Products/IGBT-MOSFETDvr.htm" TargetMode="External"/><Relationship Id="rId723" Type="http://schemas.openxmlformats.org/officeDocument/2006/relationships/hyperlink" Target="https://www.digikey.com/product-detail/en/susumu/RG2012P-275-B-T5/408-2028-2-ND/7035372" TargetMode="External"/><Relationship Id="rId765" Type="http://schemas.openxmlformats.org/officeDocument/2006/relationships/hyperlink" Target="http://www.latticesemi.com/-/media/LatticeSemi/Documents/DataSheets/MachXO23/FPGA-DS-02032-2-4-MachXO3-Family-Data-Sheet.ashx?document_id=50121" TargetMode="External"/><Relationship Id="rId155" Type="http://schemas.openxmlformats.org/officeDocument/2006/relationships/hyperlink" Target="https://electronics.stackexchange.com/questions/18884/switching-dc-with-mosfet-p-channel-or-n-channel-low-side-load-or-high-side-loa" TargetMode="External"/><Relationship Id="rId197" Type="http://schemas.openxmlformats.org/officeDocument/2006/relationships/hyperlink" Target="https://www.digikey.com/product-detail/en/texas-instruments/LM5050MKX-1-NOPB/296-46427-2-ND/2753640" TargetMode="External"/><Relationship Id="rId362" Type="http://schemas.openxmlformats.org/officeDocument/2006/relationships/hyperlink" Target="http://www.vishay.com/docs/28751/acasprec.pdf" TargetMode="External"/><Relationship Id="rId418" Type="http://schemas.openxmlformats.org/officeDocument/2006/relationships/hyperlink" Target="https://www.infineon.com/cms/en/product/microcontroller/32-bit-industrial-microcontroller-based-on-arm-cortex-m/32-bit-xmc4000-industrial-microcontroller-arm-cortex-m4/xmc4108-q48k64-ba/" TargetMode="External"/><Relationship Id="rId625" Type="http://schemas.openxmlformats.org/officeDocument/2006/relationships/hyperlink" Target="https://www.digikey.com/product-detail/en/bourns-inc/CAY16-3301F4LF/CAY16-3301F4LFTR-ND/2566565" TargetMode="External"/><Relationship Id="rId222" Type="http://schemas.openxmlformats.org/officeDocument/2006/relationships/hyperlink" Target="https://www.ti.com/product/LM5116?keyMatch=LM5116&amp;tisearch=Search-EN-technicaldocument&amp;usecase=part-number" TargetMode="External"/><Relationship Id="rId264" Type="http://schemas.openxmlformats.org/officeDocument/2006/relationships/hyperlink" Target="http://www.samsungsem.com/global/support/product-search/mlcc/1208400_4880.html" TargetMode="External"/><Relationship Id="rId471" Type="http://schemas.openxmlformats.org/officeDocument/2006/relationships/hyperlink" Target="https://en.wikipedia.org/wiki/London_Array" TargetMode="External"/><Relationship Id="rId667" Type="http://schemas.openxmlformats.org/officeDocument/2006/relationships/hyperlink" Target="https://www.digikey.com/product-detail/en/nexperia-usa-inc/BAT54S-235/1727-1868-2-ND/1232122" TargetMode="External"/><Relationship Id="rId17" Type="http://schemas.openxmlformats.org/officeDocument/2006/relationships/hyperlink" Target="http://zero-energyplans.com/wp-content/uploads/BA_ChallengeHome_TCLegendHomes_100113.pdf" TargetMode="External"/><Relationship Id="rId59" Type="http://schemas.openxmlformats.org/officeDocument/2006/relationships/hyperlink" Target="https://en.wikipedia.org/wiki/List_of_countries_by_ratio_of_GDP_to_carbon_dioxide_emissions" TargetMode="External"/><Relationship Id="rId124" Type="http://schemas.openxmlformats.org/officeDocument/2006/relationships/hyperlink" Target="https://birds-are-nice.me/ipfs/QmXt1JSG1Hv3pfxeKFktJ8FgZuwd4jwUqe18GTXxjn5QTb/" TargetMode="External"/><Relationship Id="rId527" Type="http://schemas.openxmlformats.org/officeDocument/2006/relationships/hyperlink" Target="https://www.digikey.com/product-detail/en/diodes-incorporated/DMN6075S-13/DMN6075S-13DI-ND/5149391" TargetMode="External"/><Relationship Id="rId569" Type="http://schemas.openxmlformats.org/officeDocument/2006/relationships/hyperlink" Target="https://fscdn.rohm.com/en/products/databook/applinote/ic/power/switching_regulator/setting_all_parts_around_dcdc_an-e.pdf" TargetMode="External"/><Relationship Id="rId734" Type="http://schemas.openxmlformats.org/officeDocument/2006/relationships/hyperlink" Target="https://www.digikey.com/product-detail/en/on-semiconductor/BSS123L/BSS123LTR-ND/5044750" TargetMode="External"/><Relationship Id="rId776" Type="http://schemas.openxmlformats.org/officeDocument/2006/relationships/hyperlink" Target="http://www.ti.com/lit/ds/symlink/tlv1805-q1.pdf?HQS=TI-null-null-digikeymode-df-pf-null-wwe&amp;ts=1591463085917&amp;ref_url=http://www.ti.com/general/docs/suppproductinfo.tsp?distId%3D10&amp;gotoUrl=http://www.ti.com/lit/gpn/tlv1805-q1" TargetMode="External"/><Relationship Id="rId70" Type="http://schemas.openxmlformats.org/officeDocument/2006/relationships/hyperlink" Target="https://www.digikey.com/product-detail/en/cui-inc/PDSE1-S5-S3-S/102-6290-ND/10229825" TargetMode="External"/><Relationship Id="rId166" Type="http://schemas.openxmlformats.org/officeDocument/2006/relationships/hyperlink" Target="https://en.wikipedia.org/wiki/Power_optimizer" TargetMode="External"/><Relationship Id="rId331" Type="http://schemas.openxmlformats.org/officeDocument/2006/relationships/hyperlink" Target="https://www.powerelectronictips.com/faq-what-is-a-charge-pump-and-why-is-it-useful-part-1-faq/" TargetMode="External"/><Relationship Id="rId373" Type="http://schemas.openxmlformats.org/officeDocument/2006/relationships/hyperlink" Target="http://www.ti.com/amplifier-circuit/op-amps/cross-reference.html" TargetMode="External"/><Relationship Id="rId429" Type="http://schemas.openxmlformats.org/officeDocument/2006/relationships/hyperlink" Target="https://www.infineon.com/dgdl/Infineon-Application-Power-Conversion-XMC-in-Power-Conversion-Applications_2-TR-v01_00-EN.pdf?fileId=5546d462576f34750157dcc78cd22555" TargetMode="External"/><Relationship Id="rId580" Type="http://schemas.openxmlformats.org/officeDocument/2006/relationships/hyperlink" Target="http://www.ti.com/lit/an/snva803/snva803.pdf" TargetMode="External"/><Relationship Id="rId636" Type="http://schemas.openxmlformats.org/officeDocument/2006/relationships/hyperlink" Target="https://www.digikey.com/product-detail/en/stmicroelectronics/TSZ124IYPT/497-16370-2-ND/5872325" TargetMode="External"/><Relationship Id="rId801" Type="http://schemas.openxmlformats.org/officeDocument/2006/relationships/hyperlink" Target="https://www.nxp.com/design/software/models/microcontroller-symbols-footprints-and-models:MCUCAD" TargetMode="External"/><Relationship Id="rId1" Type="http://schemas.openxmlformats.org/officeDocument/2006/relationships/hyperlink" Target="https://www.digikey.com/product-detail/en/on-semiconductor/NVMFS5C670NLAFT3G/NVMFS5C670NLAFT3G-ND/7562215" TargetMode="External"/><Relationship Id="rId233" Type="http://schemas.openxmlformats.org/officeDocument/2006/relationships/hyperlink" Target="https://www.digikey.com/product-detail/en/texas-instruments/INA180A2IDBVR/296-47653-2-ND/8132987" TargetMode="External"/><Relationship Id="rId440" Type="http://schemas.openxmlformats.org/officeDocument/2006/relationships/hyperlink" Target="https://www.infineon.com/dgdl/Infineon-DAVE_Quick_Start-GS-v02_00-EN.pdf?fileId=5546d4624cb7f111014d059f7b8c712d" TargetMode="External"/><Relationship Id="rId678" Type="http://schemas.openxmlformats.org/officeDocument/2006/relationships/hyperlink" Target="https://www.digikey.com/product-detail/en/samsung-electro-mechanics/CL31B106KAHNNNE/1276-1804-2-ND/3887462" TargetMode="External"/><Relationship Id="rId28" Type="http://schemas.openxmlformats.org/officeDocument/2006/relationships/hyperlink" Target="https://www.landwatch.com/Massachusetts_land_for_sale" TargetMode="External"/><Relationship Id="rId275" Type="http://schemas.openxmlformats.org/officeDocument/2006/relationships/hyperlink" Target="https://www.researchgate.net/profile/Angelo_Brambilla/publication/235222432_Micro-inverter_for_solar_power_generation/links/56edb26b08ae4b8b5e7442b0/Micro-inverter-for-solar-power-generation.pdf" TargetMode="External"/><Relationship Id="rId300" Type="http://schemas.openxmlformats.org/officeDocument/2006/relationships/hyperlink" Target="http://www.ti.com/lit/ds/symlink/ucc27714.pdf" TargetMode="External"/><Relationship Id="rId482" Type="http://schemas.openxmlformats.org/officeDocument/2006/relationships/hyperlink" Target="https://www.corning.com/worldwide/en/innovation/corning-emerging-innovations/corning-willow-glass.html" TargetMode="External"/><Relationship Id="rId538" Type="http://schemas.openxmlformats.org/officeDocument/2006/relationships/hyperlink" Target="https://www.digikey.com/product-detail/en/on-semiconductor/NCP81075MNTXG/NCP81075MNTXG-ND/7931468" TargetMode="External"/><Relationship Id="rId703" Type="http://schemas.openxmlformats.org/officeDocument/2006/relationships/hyperlink" Target="https://www.digikey.com/product-detail/en/kemet/C1206C474K1REC7800/C1206C474K1REC7800-ND/8644226" TargetMode="External"/><Relationship Id="rId745" Type="http://schemas.openxmlformats.org/officeDocument/2006/relationships/hyperlink" Target="https://www.digikey.com/product-detail/en/infineon-technologies/BSS84PH6433XTMA1/BSS84PH6433XTMA1TR-ND/5410125" TargetMode="External"/><Relationship Id="rId81" Type="http://schemas.openxmlformats.org/officeDocument/2006/relationships/hyperlink" Target="https://www.me.psu.edu/cimbala/me345/Lectures/Op_amps.pdf" TargetMode="External"/><Relationship Id="rId135" Type="http://schemas.openxmlformats.org/officeDocument/2006/relationships/hyperlink" Target="http://www.onsemi.com/pub/Collateral/369A-13.PDF" TargetMode="External"/><Relationship Id="rId177" Type="http://schemas.openxmlformats.org/officeDocument/2006/relationships/hyperlink" Target="http://www.b-solar.com/Pictures/Monofacial%20TG18.5BR_D200.pdf" TargetMode="External"/><Relationship Id="rId342" Type="http://schemas.openxmlformats.org/officeDocument/2006/relationships/hyperlink" Target="https://www.electronics-notes.com/articles/analogue_circuits/power-supply-electronics/linear-psu-series-regulator-circuit.php" TargetMode="External"/><Relationship Id="rId384" Type="http://schemas.openxmlformats.org/officeDocument/2006/relationships/hyperlink" Target="https://www.digikey.com/products/en/transformers/switching-converter-smps-transformers/168?k=TPS55010" TargetMode="External"/><Relationship Id="rId591" Type="http://schemas.openxmlformats.org/officeDocument/2006/relationships/hyperlink" Target="https://www.digikey.com/product-detail/en/yageo/RT0805DRC0710KL/RT0805DRC0710KL-ND/7708577" TargetMode="External"/><Relationship Id="rId605" Type="http://schemas.openxmlformats.org/officeDocument/2006/relationships/hyperlink" Target="http://www.ti.com/product/TLV700?qgpn=tlv700" TargetMode="External"/><Relationship Id="rId787" Type="http://schemas.openxmlformats.org/officeDocument/2006/relationships/hyperlink" Target="https://www.digikey.in/product-detail/en/stackpole-electronics-inc/RAVF104DJT22K0/RAVF104DJT22K0TR-ND/2416617" TargetMode="External"/><Relationship Id="rId812" Type="http://schemas.openxmlformats.org/officeDocument/2006/relationships/hyperlink" Target="https://www.yageo.com/upload/media/product/productsearch/datasheet/rchip/PYu-RC_Group_51_RoHS_L_11.pdf" TargetMode="External"/><Relationship Id="rId202" Type="http://schemas.openxmlformats.org/officeDocument/2006/relationships/hyperlink" Target="http://rohmfs.rohm.com/en/products/databook/applinote/ic/power/switching_regulator/buck_converter_efficiency_app-e.pdf" TargetMode="External"/><Relationship Id="rId244" Type="http://schemas.openxmlformats.org/officeDocument/2006/relationships/hyperlink" Target="http://www.ti.com/tool/TIDM-SOLARUINV" TargetMode="External"/><Relationship Id="rId647" Type="http://schemas.openxmlformats.org/officeDocument/2006/relationships/hyperlink" Target="https://www.digikey.com/product-detail/en/samsung-electro-mechanics/CL21B105KOFNNNG/1276-6471-2-ND/3894469" TargetMode="External"/><Relationship Id="rId689" Type="http://schemas.openxmlformats.org/officeDocument/2006/relationships/hyperlink" Target="https://www.digikey.com/product-detail/en/taiyo-yuden/NRS4018T101MDGJ/587-6091-2-ND/5215121" TargetMode="External"/><Relationship Id="rId39" Type="http://schemas.openxmlformats.org/officeDocument/2006/relationships/hyperlink" Target="https://www.linkedin.com/in/tedljames/" TargetMode="External"/><Relationship Id="rId286" Type="http://schemas.openxmlformats.org/officeDocument/2006/relationships/hyperlink" Target="https://www.solarpowerworldonline.com/solar-power-power-optimizers-models/" TargetMode="External"/><Relationship Id="rId451" Type="http://schemas.openxmlformats.org/officeDocument/2006/relationships/hyperlink" Target="https://www.infineon.com/dgdl/Infineon-Peripheral%20-%20XMC4000%20Versatile%20Analog%20to%20Digital%20Converter%20(VADC)-TR-v01_00-EN.pdf?fileId=5546d462580663ef01582a3df0783e2f" TargetMode="External"/><Relationship Id="rId493" Type="http://schemas.openxmlformats.org/officeDocument/2006/relationships/hyperlink" Target="https://www.digikey.com/product-detail/en/infineon-technologies/BSS131H6327XTSA1/BSS131H6327XTSA1TR-ND/2783458" TargetMode="External"/><Relationship Id="rId507" Type="http://schemas.openxmlformats.org/officeDocument/2006/relationships/hyperlink" Target="https://www.3m.com/3M/en_US/power-generation-us/solutions/solar-energy/applications/" TargetMode="External"/><Relationship Id="rId549" Type="http://schemas.openxmlformats.org/officeDocument/2006/relationships/hyperlink" Target="https://www.digikey.com/product-detail/en/ixys-integrated-circuits-division/IX4340UETR/212-IX4340UETR-ND/10477913" TargetMode="External"/><Relationship Id="rId714" Type="http://schemas.openxmlformats.org/officeDocument/2006/relationships/hyperlink" Target="https://www.digikey.com/product-detail/en/on-semiconductor/LMV393DMR2G/LMV393DMR2GOSTR-ND/1973674" TargetMode="External"/><Relationship Id="rId756" Type="http://schemas.openxmlformats.org/officeDocument/2006/relationships/hyperlink" Target="https://www.infineon.com/dgdl/Infineon-XMC4200_Microcontroller_Digital_Power_Control_Card_User_Manual-UM-v01_01-EN.pdf?fileId=5546d4625185e0e201518bf18e663e3b" TargetMode="External"/><Relationship Id="rId50" Type="http://schemas.openxmlformats.org/officeDocument/2006/relationships/hyperlink" Target="https://eere-exchange.energy.gov/Default.aspx" TargetMode="External"/><Relationship Id="rId104" Type="http://schemas.openxmlformats.org/officeDocument/2006/relationships/hyperlink" Target="https://www.allaboutcircuits.com/tools/capacitor-Charge-and-time-constant-calculator/" TargetMode="External"/><Relationship Id="rId146" Type="http://schemas.openxmlformats.org/officeDocument/2006/relationships/hyperlink" Target="https://www.bourns.com/docs/product-datasheets/sot23-5.pdf?sfvrsn=266991f1_1" TargetMode="External"/><Relationship Id="rId188" Type="http://schemas.openxmlformats.org/officeDocument/2006/relationships/hyperlink" Target="http://www.ti.com/lit/an/tida030/tida030.pdf" TargetMode="External"/><Relationship Id="rId311" Type="http://schemas.openxmlformats.org/officeDocument/2006/relationships/hyperlink" Target="http://www.ti.com/lit/an/slla385/slla385.pdf" TargetMode="External"/><Relationship Id="rId353" Type="http://schemas.openxmlformats.org/officeDocument/2006/relationships/hyperlink" Target="https://www.digikey.com/product-detail/en/samsung-electro-mechanics/CL10B222KB8NNND/CL10B222KB8NNND-ND/3894289" TargetMode="External"/><Relationship Id="rId395" Type="http://schemas.openxmlformats.org/officeDocument/2006/relationships/hyperlink" Target="https://www.digikey.com/product-detail/en/murata-power-solutions-inc/NXE1S0505MC-R13/NXE1S0505MC-R13-ND/5047458" TargetMode="External"/><Relationship Id="rId409" Type="http://schemas.openxmlformats.org/officeDocument/2006/relationships/hyperlink" Target="http://optoelectronics.liteon.com/en-global/Led/LED-Component/Detail/661/0/LTV-826" TargetMode="External"/><Relationship Id="rId560" Type="http://schemas.openxmlformats.org/officeDocument/2006/relationships/hyperlink" Target="https://www.digikey.com/product-detail/en/texas-instruments/LM5106MMX-NOPB/296-44277-2-ND/1871878" TargetMode="External"/><Relationship Id="rId798" Type="http://schemas.openxmlformats.org/officeDocument/2006/relationships/hyperlink" Target="https://techdocs.altium.com/display/ADOH/Download+Libraries" TargetMode="External"/><Relationship Id="rId92" Type="http://schemas.openxmlformats.org/officeDocument/2006/relationships/hyperlink" Target="https://www.digikey.com/product-detail/en/toshiba-semiconductor-and-storage/TPH6R30ANLL1Q/TPH6R30ANLL1Q-ND/7809862" TargetMode="External"/><Relationship Id="rId213" Type="http://schemas.openxmlformats.org/officeDocument/2006/relationships/hyperlink" Target="https://www.digikey.com/product-detail/en/texas-instruments/UCC27714DR/296-42701-2-ND/5423464" TargetMode="External"/><Relationship Id="rId420" Type="http://schemas.openxmlformats.org/officeDocument/2006/relationships/hyperlink" Target="https://www.arrow.com/en/products/kit600wllcdictrltobo1/infineon-technologies-ag?gclid=Cj0KCQiApt_xBRDxARIsAAMUMu_t1SjBwkb2eKccGr0eBlSM7OOE-aQ8EwE3t9mimfOPZTvkQNklbMYaAnNSEALw_wcB" TargetMode="External"/><Relationship Id="rId616" Type="http://schemas.openxmlformats.org/officeDocument/2006/relationships/hyperlink" Target="https://spicat.avx.com/mlcc" TargetMode="External"/><Relationship Id="rId658" Type="http://schemas.openxmlformats.org/officeDocument/2006/relationships/hyperlink" Target="https://plasticker.de/preise/pms_en.php?kat=Mahlgut&amp;aog=A&amp;show=ok&amp;make=ok" TargetMode="External"/><Relationship Id="rId823" Type="http://schemas.openxmlformats.org/officeDocument/2006/relationships/hyperlink" Target="https://www.ti.com/product/TMUX1309-Q1?keyMatch=TMUX1309&amp;tisearch=Search-EN-everything&amp;usecase=GPN" TargetMode="External"/><Relationship Id="rId255" Type="http://schemas.openxmlformats.org/officeDocument/2006/relationships/hyperlink" Target="https://ieeexplore.ieee.org/stamp/stamp.jsp?arnumber=8606786" TargetMode="External"/><Relationship Id="rId297" Type="http://schemas.openxmlformats.org/officeDocument/2006/relationships/hyperlink" Target="http://e2e.ti.com/support/power-management/f/196/p/571563/2096180?pi320098=2" TargetMode="External"/><Relationship Id="rId462" Type="http://schemas.openxmlformats.org/officeDocument/2006/relationships/hyperlink" Target="https://www.infineon.com/dgdl/Board_Users_Manual_XMC_2Go_Kit_with_XMC1100_R1.0.pdf?fileId=db3a3043444ee5dc014453d6c75078c6" TargetMode="External"/><Relationship Id="rId518" Type="http://schemas.openxmlformats.org/officeDocument/2006/relationships/hyperlink" Target="https://www.onsemi.com/pub/Collateral/BSS123LT1-D.PDF" TargetMode="External"/><Relationship Id="rId725" Type="http://schemas.openxmlformats.org/officeDocument/2006/relationships/hyperlink" Target="https://www.digikey.com/product-detail/en/stackpole-electronics-inc/RMCF0805FG1M00/RMCF0805FG1M00TR-ND/1712780" TargetMode="External"/><Relationship Id="rId115" Type="http://schemas.openxmlformats.org/officeDocument/2006/relationships/hyperlink" Target="https://www.analog.com/media/en/reference-design-documentation/design-notes/dn363f.pdf" TargetMode="External"/><Relationship Id="rId157" Type="http://schemas.openxmlformats.org/officeDocument/2006/relationships/hyperlink" Target="https://www.infineon.com/dgdl/Infineon-Bootstrap_Network_Analysis-AN-v01_00-EN.pdf?fileId=5546d462533600a40153559692661096" TargetMode="External"/><Relationship Id="rId322" Type="http://schemas.openxmlformats.org/officeDocument/2006/relationships/hyperlink" Target="http://www.ti.com/lit/an/slva390/slva390.pdf" TargetMode="External"/><Relationship Id="rId364" Type="http://schemas.openxmlformats.org/officeDocument/2006/relationships/hyperlink" Target="http://www.vishay.com/docs/28751/acasprec.pdf" TargetMode="External"/><Relationship Id="rId767" Type="http://schemas.openxmlformats.org/officeDocument/2006/relationships/hyperlink" Target="https://www.microchip.com/wwwproducts/en/MCP3461" TargetMode="External"/><Relationship Id="rId61" Type="http://schemas.openxmlformats.org/officeDocument/2006/relationships/hyperlink" Target="https://www.analog.com/en/products/adr3412.html" TargetMode="External"/><Relationship Id="rId199" Type="http://schemas.openxmlformats.org/officeDocument/2006/relationships/hyperlink" Target="https://www.analog.com/media/en/technical-documentation/technical-articles/M138-Controller_EN.pdf" TargetMode="External"/><Relationship Id="rId571" Type="http://schemas.openxmlformats.org/officeDocument/2006/relationships/hyperlink" Target="https://www.st.com/content/st_com/en/support/resources/edesign.html" TargetMode="External"/><Relationship Id="rId627" Type="http://schemas.openxmlformats.org/officeDocument/2006/relationships/hyperlink" Target="https://www.digikey.com/product-detail/en/micro-commercial-co/BAT54TW-TP/BAT54TW-TPTR-ND/819608" TargetMode="External"/><Relationship Id="rId669" Type="http://schemas.openxmlformats.org/officeDocument/2006/relationships/hyperlink" Target="http://www.ti.com/product/TLV700?qgpn=tlv700" TargetMode="External"/><Relationship Id="rId19" Type="http://schemas.openxmlformats.org/officeDocument/2006/relationships/hyperlink" Target="http://www.greenspec.co.uk/building-design/thermal-mass/" TargetMode="External"/><Relationship Id="rId224" Type="http://schemas.openxmlformats.org/officeDocument/2006/relationships/hyperlink" Target="https://en.wikipedia.org/wiki/Buck%E2%80%93boost_converter" TargetMode="External"/><Relationship Id="rId266" Type="http://schemas.openxmlformats.org/officeDocument/2006/relationships/hyperlink" Target="https://www.tina.com/components/" TargetMode="External"/><Relationship Id="rId431" Type="http://schemas.openxmlformats.org/officeDocument/2006/relationships/hyperlink" Target="https://www.infineon.com/cms/de/product/evaluation-boards/kit_xmc_dp_exp_01/" TargetMode="External"/><Relationship Id="rId473" Type="http://schemas.openxmlformats.org/officeDocument/2006/relationships/hyperlink" Target="https://en.wikipedia.org/wiki/List_of_power_stations_in_Massachusetts" TargetMode="External"/><Relationship Id="rId529" Type="http://schemas.openxmlformats.org/officeDocument/2006/relationships/hyperlink" Target="https://www.digikey.com/product-detail/en/diodes-incorporated/DMP3099LQ-7/DMP3099LQ-7-ND/9769996" TargetMode="External"/><Relationship Id="rId680" Type="http://schemas.openxmlformats.org/officeDocument/2006/relationships/hyperlink" Target="https://www.digikey.com/product-detail/en/samsung-electro-mechanics/CL32B225KCJSNNF/1276-CL32B225KCJSNNFTR-ND/10480140" TargetMode="External"/><Relationship Id="rId736" Type="http://schemas.openxmlformats.org/officeDocument/2006/relationships/hyperlink" Target="https://www.youtube.com/watch?v=LBWB79NWcJ4" TargetMode="External"/><Relationship Id="rId30" Type="http://schemas.openxmlformats.org/officeDocument/2006/relationships/hyperlink" Target="https://www.engineering.com/Blogs/tabid/3207/ArticleID/152/Thermal-Conductivity.aspx" TargetMode="External"/><Relationship Id="rId126" Type="http://schemas.openxmlformats.org/officeDocument/2006/relationships/hyperlink" Target="https://www.digikey.com/product-detail/en/on-semiconductor/NLAST4599DTT1G/NLAST4599DTT1GOSTR-ND/921489" TargetMode="External"/><Relationship Id="rId168" Type="http://schemas.openxmlformats.org/officeDocument/2006/relationships/hyperlink" Target="https://www.solaris-shop.com/content/SolarEdge%20Power%20Optimizer%20Specs.pdf" TargetMode="External"/><Relationship Id="rId333" Type="http://schemas.openxmlformats.org/officeDocument/2006/relationships/hyperlink" Target="http://www.ti.com/lit/ml/slua618a/slua618a.pdf" TargetMode="External"/><Relationship Id="rId540" Type="http://schemas.openxmlformats.org/officeDocument/2006/relationships/hyperlink" Target="https://www.digikey.com/product-detail/en/diodes-incorporated/DMG2302UK-13/DMG2302UK-13-ND/6187259" TargetMode="External"/><Relationship Id="rId778" Type="http://schemas.openxmlformats.org/officeDocument/2006/relationships/hyperlink" Target="https://www.digikey.com/product-detail/en/stmicroelectronics/STB36N60M6/497-18734-2-ND/8257680" TargetMode="External"/><Relationship Id="rId72" Type="http://schemas.openxmlformats.org/officeDocument/2006/relationships/hyperlink" Target="http://www.ti.com/interface/can-lin/products.html?pqs=paqs&amp;familyid=540" TargetMode="External"/><Relationship Id="rId375" Type="http://schemas.openxmlformats.org/officeDocument/2006/relationships/hyperlink" Target="https://www.digikey.com/product-detail/en/texas-instruments/SN74LV4051ADR/296-3827-2-ND/374746" TargetMode="External"/><Relationship Id="rId582" Type="http://schemas.openxmlformats.org/officeDocument/2006/relationships/hyperlink" Target="https://www.infineon.com/dgdl/Infineon-XMC4100_XMC4200_DS-DS-v01_04-EN.pdf?fileId=5546d462696dbf120169817056f938ff" TargetMode="External"/><Relationship Id="rId638" Type="http://schemas.openxmlformats.org/officeDocument/2006/relationships/hyperlink" Target="https://www.maximintegrated.com/en/design/design-tools/modeling-simulation/spice.html" TargetMode="External"/><Relationship Id="rId803" Type="http://schemas.openxmlformats.org/officeDocument/2006/relationships/hyperlink" Target="https://www.we-online.com/web/en/electronic_components/produkte_pb/bauteilebibliotheken/altium/altium.php" TargetMode="External"/><Relationship Id="rId3" Type="http://schemas.openxmlformats.org/officeDocument/2006/relationships/hyperlink" Target="https://en.wikipedia.org/wiki/Solar_cell" TargetMode="External"/><Relationship Id="rId235" Type="http://schemas.openxmlformats.org/officeDocument/2006/relationships/hyperlink" Target="https://www.digikey.com/product-detail/en/texas-instruments/TLV3541IDR/296-45062-2-ND/6553878" TargetMode="External"/><Relationship Id="rId277" Type="http://schemas.openxmlformats.org/officeDocument/2006/relationships/hyperlink" Target="https://www.solaredge.com/sites/default/files/se_patents.pdf" TargetMode="External"/><Relationship Id="rId400" Type="http://schemas.openxmlformats.org/officeDocument/2006/relationships/hyperlink" Target="https://www.digikey.com/product-detail/en/samsung-electro-mechanics/CL21B474KBFNNNG/1276-6482-2-ND/3894539" TargetMode="External"/><Relationship Id="rId442" Type="http://schemas.openxmlformats.org/officeDocument/2006/relationships/hyperlink" Target="https://www.infineon.com/dgdl/Infineon-ApplicationNote-AP32331-XMCx000-Interrupt-subsystem-AN-v01_00-EN.pdf?fileId=5546d46253f65057015471bc641e77da" TargetMode="External"/><Relationship Id="rId484" Type="http://schemas.openxmlformats.org/officeDocument/2006/relationships/hyperlink" Target="https://www.youtube.com/watch?v=nQzi1-IDVq0" TargetMode="External"/><Relationship Id="rId705" Type="http://schemas.openxmlformats.org/officeDocument/2006/relationships/hyperlink" Target="https://www.digikey.com/product-detail/en/taiyo-yuden/NR6028T150M/587-2630-2-ND/2349959" TargetMode="External"/><Relationship Id="rId137" Type="http://schemas.openxmlformats.org/officeDocument/2006/relationships/hyperlink" Target="http://www.vishay.com/docs/20008/dcrcw.pdf" TargetMode="External"/><Relationship Id="rId302" Type="http://schemas.openxmlformats.org/officeDocument/2006/relationships/hyperlink" Target="https://www.onsemi.com/pub/Collateral/FAN7390-D.pdf" TargetMode="External"/><Relationship Id="rId344" Type="http://schemas.openxmlformats.org/officeDocument/2006/relationships/hyperlink" Target="https://www.diodes.com/products/power-management/dc-dc-converters/integrated-power-stage/boost-converter/" TargetMode="External"/><Relationship Id="rId691" Type="http://schemas.openxmlformats.org/officeDocument/2006/relationships/hyperlink" Target="https://www.digikey.com/product-detail/en/signal-transformer/SCRH125-471/SCRH125-471-ND/2778969" TargetMode="External"/><Relationship Id="rId747" Type="http://schemas.openxmlformats.org/officeDocument/2006/relationships/hyperlink" Target="https://www.digikey.com/product-detail/en/diodes-incorporated/APX809S-29SA-7/APX809S-29SA-7DITR-ND/6674548" TargetMode="External"/><Relationship Id="rId789" Type="http://schemas.openxmlformats.org/officeDocument/2006/relationships/hyperlink" Target="https://www.digikey.in/product-detail/en/stackpole-electronics-inc/RAVF104DJT47K0/RAVF104DJT47K0-ND/2416625" TargetMode="External"/><Relationship Id="rId41" Type="http://schemas.openxmlformats.org/officeDocument/2006/relationships/hyperlink" Target="https://www.youtube.com/watch?v=XriDpR14C-k" TargetMode="External"/><Relationship Id="rId83" Type="http://schemas.openxmlformats.org/officeDocument/2006/relationships/hyperlink" Target="https://www.digikey.com/product-detail/en/texas-instruments/TLV9064IPWR/296-50014-2-ND/8038004" TargetMode="External"/><Relationship Id="rId179" Type="http://schemas.openxmlformats.org/officeDocument/2006/relationships/hyperlink" Target="https://www.amazon.com/dp/B06XJV7JYQ/ref=cm_sw_em_r_mt_dp_U_L62dEbXDKWK0F" TargetMode="External"/><Relationship Id="rId386" Type="http://schemas.openxmlformats.org/officeDocument/2006/relationships/hyperlink" Target="http://www.ti.com/lit/ds/symlink/tps55010.pdf" TargetMode="External"/><Relationship Id="rId551" Type="http://schemas.openxmlformats.org/officeDocument/2006/relationships/hyperlink" Target="https://www.digikey.com/product-detail/en/texas-instruments/UCC27524DGNR/296-30607-2-ND/3458147" TargetMode="External"/><Relationship Id="rId593" Type="http://schemas.openxmlformats.org/officeDocument/2006/relationships/hyperlink" Target="http://www.latticesemi.com/-/media/LatticeSemi/Documents/ApplicationNotes/MO/MachXO3sysIOUsageGuide.ashx?document_id=50125" TargetMode="External"/><Relationship Id="rId607" Type="http://schemas.openxmlformats.org/officeDocument/2006/relationships/hyperlink" Target="https://www.digikey.com/product-detail/en/texas-instruments/TLV71736PDQNR/296-30491-2-ND/3431377" TargetMode="External"/><Relationship Id="rId649" Type="http://schemas.openxmlformats.org/officeDocument/2006/relationships/hyperlink" Target="https://en.wikipedia.org/wiki/List_of_thermal_conductivities" TargetMode="External"/><Relationship Id="rId814" Type="http://schemas.openxmlformats.org/officeDocument/2006/relationships/hyperlink" Target="https://industrial.panasonic.com/cdbs/www-data/pdf/RDA0000/DMA0000COL9.pdf" TargetMode="External"/><Relationship Id="rId190" Type="http://schemas.openxmlformats.org/officeDocument/2006/relationships/hyperlink" Target="http://www.ti.com/lit/an/snva419c/snva419c.pdf" TargetMode="External"/><Relationship Id="rId204" Type="http://schemas.openxmlformats.org/officeDocument/2006/relationships/hyperlink" Target="https://www.onsemi.com/pub/Collateral/DC%20DC%20SIMULATION%20TOOL.XLSM" TargetMode="External"/><Relationship Id="rId246" Type="http://schemas.openxmlformats.org/officeDocument/2006/relationships/hyperlink" Target="http://www.ti.com/tool/TIDM-HV-1PH-DCAC" TargetMode="External"/><Relationship Id="rId288" Type="http://schemas.openxmlformats.org/officeDocument/2006/relationships/hyperlink" Target="https://www.amazon.com/SOLAREDGE-96VDC-MC4-TYPE-OPTIMIZER-P600-2NA4ARL/dp/B06XXNJS1B/ref=sr_1_3?keywords=solar+optimizer+solaredge&amp;qid=1578871544&amp;sr=8-3" TargetMode="External"/><Relationship Id="rId411" Type="http://schemas.openxmlformats.org/officeDocument/2006/relationships/hyperlink" Target="https://www.onsemi.com/products/optoelectronics/phototransistor-optocouplers/phototransistor-output---dc-sensing-input-optocouplers/mocd217m" TargetMode="External"/><Relationship Id="rId453" Type="http://schemas.openxmlformats.org/officeDocument/2006/relationships/hyperlink" Target="https://www.infineon.com/dgdl/Infineon-Tooling_XMC_Class-B_library_Software-TR-v01_00-EN.pdf?fileId=5546d46256fb43b30157659e3f1e7d4f" TargetMode="External"/><Relationship Id="rId509" Type="http://schemas.openxmlformats.org/officeDocument/2006/relationships/hyperlink" Target="https://www.digikey.com/product-detail/en/infineon-technologies/BSS84PH6433XTMA1/BSS84PH6433XTMA1TR-ND/5410125" TargetMode="External"/><Relationship Id="rId660" Type="http://schemas.openxmlformats.org/officeDocument/2006/relationships/hyperlink" Target="http://www.bgf.com/technical/glass-properties/" TargetMode="External"/><Relationship Id="rId106" Type="http://schemas.openxmlformats.org/officeDocument/2006/relationships/hyperlink" Target="https://www.solaris-shop.com/monocrystalline/" TargetMode="External"/><Relationship Id="rId313" Type="http://schemas.openxmlformats.org/officeDocument/2006/relationships/hyperlink" Target="https://e2e.ti.com/support/tools/sim-hw-system-design/f/234/t/408224" TargetMode="External"/><Relationship Id="rId495" Type="http://schemas.openxmlformats.org/officeDocument/2006/relationships/hyperlink" Target="https://www.digikey.com/product-detail/en/taiyo-yuden/NR8040T100M/587-2001-2-ND/1739083" TargetMode="External"/><Relationship Id="rId716" Type="http://schemas.openxmlformats.org/officeDocument/2006/relationships/hyperlink" Target="https://www.digikey.com/product-detail/en/yageo/RC1206FR-071M5L/311-1-50MFRTR-ND/728442" TargetMode="External"/><Relationship Id="rId758" Type="http://schemas.openxmlformats.org/officeDocument/2006/relationships/hyperlink" Target="https://www.infineon.com/cms/en/product/evaluation-boards/kit_xmc_plt2go_xmc4200/" TargetMode="External"/><Relationship Id="rId10" Type="http://schemas.openxmlformats.org/officeDocument/2006/relationships/hyperlink" Target="https://iwae.com/resources/articles/climates-benefit-geothermal-heat-pump.html" TargetMode="External"/><Relationship Id="rId52" Type="http://schemas.openxmlformats.org/officeDocument/2006/relationships/hyperlink" Target="https://www.energy.gov/eere/buildings/contact-building-technologies-office" TargetMode="External"/><Relationship Id="rId94" Type="http://schemas.openxmlformats.org/officeDocument/2006/relationships/hyperlink" Target="https://www.digikey.com/product-detail/en/on-semiconductor/NTS12100EMFST1G/NTS12100EMFST1G-ND/5258114" TargetMode="External"/><Relationship Id="rId148" Type="http://schemas.openxmlformats.org/officeDocument/2006/relationships/hyperlink" Target="https://www.analog.com/media/en/package-pcb-resources/package/pkg_pdf/sc70ks/ks_5.pdf" TargetMode="External"/><Relationship Id="rId355" Type="http://schemas.openxmlformats.org/officeDocument/2006/relationships/hyperlink" Target="https://www.digikey.com/product-detail/en/stackpole-electronics-inc/RMCF0805FT10K0/RMCF0805FT10K0TR-ND/1760676" TargetMode="External"/><Relationship Id="rId397" Type="http://schemas.openxmlformats.org/officeDocument/2006/relationships/hyperlink" Target="http://www.alphawire.com/Home/Products/Wire/Hook-Up-Wire/Premium/3055?device=pdf" TargetMode="External"/><Relationship Id="rId520" Type="http://schemas.openxmlformats.org/officeDocument/2006/relationships/hyperlink" Target="https://www.digikey.com/product-detail/en/texas-instruments/UCC27511ADBVR/296-49474-2-ND/9371276" TargetMode="External"/><Relationship Id="rId562" Type="http://schemas.openxmlformats.org/officeDocument/2006/relationships/hyperlink" Target="https://www.digikey.com/product-detail/en/texas-instruments/CSD19531Q5A/296-41232-2-ND/4437460" TargetMode="External"/><Relationship Id="rId618" Type="http://schemas.openxmlformats.org/officeDocument/2006/relationships/hyperlink" Target="https://product.tdk.com/info/en/technicalsupport/tvcl/general/mlcc.html" TargetMode="External"/><Relationship Id="rId825" Type="http://schemas.openxmlformats.org/officeDocument/2006/relationships/hyperlink" Target="https://www.mouser.com/datasheet/2/196/Infineon-XMC4200_Platform2Go-UserManual-v01_00-EN-1710896.pdf" TargetMode="External"/><Relationship Id="rId215" Type="http://schemas.openxmlformats.org/officeDocument/2006/relationships/hyperlink" Target="http://www.ti.com/lit/ug/snvu205/snvu205.pdf" TargetMode="External"/><Relationship Id="rId257" Type="http://schemas.openxmlformats.org/officeDocument/2006/relationships/hyperlink" Target="https://e2e.ti.com/support/tools/sim-hw-system-design/f/234/t/803979" TargetMode="External"/><Relationship Id="rId422" Type="http://schemas.openxmlformats.org/officeDocument/2006/relationships/hyperlink" Target="https://www.infineon.com/dgdl/Infineon-XMC4200_Microcontroller_Digital_Power_Control_Card_User_Manual-UM-v01_01-EN.pdf?fileId=5546d4625185e0e201518bf18e663e3b" TargetMode="External"/><Relationship Id="rId464" Type="http://schemas.openxmlformats.org/officeDocument/2006/relationships/hyperlink" Target="https://www.digikey.com/product-detail/en/nexperia-usa-inc/PMEG3005EGWJ/1727-7342-2-ND/7390567" TargetMode="External"/><Relationship Id="rId299" Type="http://schemas.openxmlformats.org/officeDocument/2006/relationships/hyperlink" Target="http://www.ti.com/lit/ug/sluub02a/sluub02a.pdf" TargetMode="External"/><Relationship Id="rId727" Type="http://schemas.openxmlformats.org/officeDocument/2006/relationships/hyperlink" Target="https://www.digikey.com/product-detail/en/stackpole-electronics-inc/RMCF1206FT33K0/RMCF1206FT33K0TR-ND/1753956" TargetMode="External"/><Relationship Id="rId63" Type="http://schemas.openxmlformats.org/officeDocument/2006/relationships/hyperlink" Target="http://www.ti.com/lit/ds/symlink/lmv324a.pdf" TargetMode="External"/><Relationship Id="rId159" Type="http://schemas.openxmlformats.org/officeDocument/2006/relationships/hyperlink" Target="https://electronics.stackexchange.com/questions/367089/p-channel-mosfet-gate-protection" TargetMode="External"/><Relationship Id="rId366" Type="http://schemas.openxmlformats.org/officeDocument/2006/relationships/hyperlink" Target="https://www.analog.com/en/analog-dialogue/articles/techniques-to-avoid-instability-capacitive-loading.html" TargetMode="External"/><Relationship Id="rId573" Type="http://schemas.openxmlformats.org/officeDocument/2006/relationships/hyperlink" Target="https://fscdn.rohm.com/en/products/databook/applinote/ic/power/switching_regulator/setting_compensation_parts_to_current_mode_buck_converter_an-e.pdf" TargetMode="External"/><Relationship Id="rId780" Type="http://schemas.openxmlformats.org/officeDocument/2006/relationships/hyperlink" Target="https://docs.google.com/spreadsheets/d/19KGhU5Li8gmt0d7b2DLixzUuKwI4GNSobysC2w3LoSQ/edit?ts=5ed575bd" TargetMode="External"/><Relationship Id="rId226" Type="http://schemas.openxmlformats.org/officeDocument/2006/relationships/hyperlink" Target="https://www.digikey.com/product-detail/en/texas-instruments/LMH6611MKX-NOPB/LMH6611MKX-NOPB-ND/1840714" TargetMode="External"/><Relationship Id="rId433" Type="http://schemas.openxmlformats.org/officeDocument/2006/relationships/hyperlink" Target="https://www.infineon.com/cms/en/search.html" TargetMode="External"/><Relationship Id="rId640" Type="http://schemas.openxmlformats.org/officeDocument/2006/relationships/hyperlink" Target="https://en.wikibooks.org/wiki/Electronics/Electronics_Formulas/Op_Amp_Configurations" TargetMode="External"/><Relationship Id="rId738" Type="http://schemas.openxmlformats.org/officeDocument/2006/relationships/hyperlink" Target="https://www.digikey.com/product-detail/en/on-semiconductor/BAS21LT3G/BAS21LT3GOSTR-ND/1475480" TargetMode="External"/><Relationship Id="rId74" Type="http://schemas.openxmlformats.org/officeDocument/2006/relationships/hyperlink" Target="https://para.maximintegrated.com/en/search.mvp?fam=can&amp;hs=1" TargetMode="External"/><Relationship Id="rId377" Type="http://schemas.openxmlformats.org/officeDocument/2006/relationships/hyperlink" Target="https://www.digikey.com/product-detail/en/stmicroelectronics/STB36N60M6/497-18734-2-ND/8257680" TargetMode="External"/><Relationship Id="rId500" Type="http://schemas.openxmlformats.org/officeDocument/2006/relationships/hyperlink" Target="https://www.digikey.com/product-detail/en/taiyo-yuden/NRS4018T330MDGJ/587-2891-2-ND/2648969" TargetMode="External"/><Relationship Id="rId584" Type="http://schemas.openxmlformats.org/officeDocument/2006/relationships/hyperlink" Target="http://www.ti.com/lit/ds/symlink/tlv9064.pdf" TargetMode="External"/><Relationship Id="rId805" Type="http://schemas.openxmlformats.org/officeDocument/2006/relationships/hyperlink" Target="https://app.ultralibrarian.com/content/help/?altium_designer.htm" TargetMode="External"/><Relationship Id="rId5" Type="http://schemas.openxmlformats.org/officeDocument/2006/relationships/hyperlink" Target="https://www.solarreviews.com/blog/10kw-solar-systems-are-becoming-very-popular-here-is-why" TargetMode="External"/><Relationship Id="rId237" Type="http://schemas.openxmlformats.org/officeDocument/2006/relationships/hyperlink" Target="http://www.ti.com/lit/ug/tidue53a/tidue53a.pdf" TargetMode="External"/><Relationship Id="rId791" Type="http://schemas.openxmlformats.org/officeDocument/2006/relationships/hyperlink" Target="https://www.digikey.in/product-detail/en/stackpole-electronics-inc/RAVF104DJT150K/RAVF104DJT150K-ND/2416636" TargetMode="External"/><Relationship Id="rId444" Type="http://schemas.openxmlformats.org/officeDocument/2006/relationships/hyperlink" Target="https://www.infineon.com/dgdl/Infineon-Application_Power_Conversion_Power_Factor_Correction_(PFC)_with_XMC-TR-v01_00-EN.pdf?fileId=5546d4625696ed7601569c7cf64607ab" TargetMode="External"/><Relationship Id="rId651" Type="http://schemas.openxmlformats.org/officeDocument/2006/relationships/hyperlink" Target="https://en.wikipedia.org/wiki/Tempered_glass" TargetMode="External"/><Relationship Id="rId749" Type="http://schemas.openxmlformats.org/officeDocument/2006/relationships/hyperlink" Target="https://www.digikey.com/product-detail/en/panasonic-electronic-components/ERA-6ARB333V/P33KBFDKR-ND/3073563" TargetMode="External"/><Relationship Id="rId290" Type="http://schemas.openxmlformats.org/officeDocument/2006/relationships/hyperlink" Target="https://gridalternatives.org/sites/default/files/se_power_optimizers_installation_guide.pdf" TargetMode="External"/><Relationship Id="rId304" Type="http://schemas.openxmlformats.org/officeDocument/2006/relationships/hyperlink" Target="https://www.digikey.com/product-detail/en/nexperia-usa-inc/BAT46GWJ/1727-7326-2-ND/7390551" TargetMode="External"/><Relationship Id="rId388" Type="http://schemas.openxmlformats.org/officeDocument/2006/relationships/hyperlink" Target="http://www.ti.com/reference-designs/index.html" TargetMode="External"/><Relationship Id="rId511" Type="http://schemas.openxmlformats.org/officeDocument/2006/relationships/hyperlink" Target="http://www.ti.com/lit/ds/symlink/lmv324a.pdf" TargetMode="External"/><Relationship Id="rId609" Type="http://schemas.openxmlformats.org/officeDocument/2006/relationships/hyperlink" Target="https://www.digikey.com/product-detail/en/diodes-incorporated/AP2202K-ADJTRG1/AP2202K-ADJTRG1DITR-ND/4470808" TargetMode="External"/><Relationship Id="rId85" Type="http://schemas.openxmlformats.org/officeDocument/2006/relationships/hyperlink" Target="http://www.ti.com/lit/sg/slyb194d/slyb194d.pdf" TargetMode="External"/><Relationship Id="rId150" Type="http://schemas.openxmlformats.org/officeDocument/2006/relationships/hyperlink" Target="https://www.digikey.com/product-detail/en/texas-instruments/TMP302CDRLR/296-46459-2-ND/2232596" TargetMode="External"/><Relationship Id="rId595" Type="http://schemas.openxmlformats.org/officeDocument/2006/relationships/hyperlink" Target="http://www.latticesemi.com/-/media/LatticeSemi/Documents/ApplicationNotes/MO/MachXO3sysIOUsageGuide.ashx?document_id=50125" TargetMode="External"/><Relationship Id="rId816" Type="http://schemas.openxmlformats.org/officeDocument/2006/relationships/hyperlink" Target="https://www.digikey.com/product-detail/en/texas-instruments/TLV9054IPWR/296-TLV9054IPWRTR-ND/10434682" TargetMode="External"/><Relationship Id="rId248" Type="http://schemas.openxmlformats.org/officeDocument/2006/relationships/hyperlink" Target="http://www.ti.com/lit/ug/tidub21c/tidub21c.pdf" TargetMode="External"/><Relationship Id="rId455" Type="http://schemas.openxmlformats.org/officeDocument/2006/relationships/hyperlink" Target="https://www.diodes.com/part/view/AP2602?BackID=8270" TargetMode="External"/><Relationship Id="rId662" Type="http://schemas.openxmlformats.org/officeDocument/2006/relationships/hyperlink" Target="https://www.maximintegrated.com/en/products/analog/voltage-references/MAX6070.html/tb_tab0" TargetMode="External"/><Relationship Id="rId12" Type="http://schemas.openxmlformats.org/officeDocument/2006/relationships/hyperlink" Target="https://en.wikipedia.org/wiki/Heat_pump" TargetMode="External"/><Relationship Id="rId108" Type="http://schemas.openxmlformats.org/officeDocument/2006/relationships/hyperlink" Target="https://www.solaris-shop.com/hanwha-q-cells-q-peak-duo-blk-g5-325-325w-mono-solar-panel/" TargetMode="External"/><Relationship Id="rId315" Type="http://schemas.openxmlformats.org/officeDocument/2006/relationships/hyperlink" Target="https://toshiba.semicon-storage.com/us/product/mosfet/detail.TPH3R70APL.html" TargetMode="External"/><Relationship Id="rId522" Type="http://schemas.openxmlformats.org/officeDocument/2006/relationships/hyperlink" Target="https://www.digikey.com/product-detail/en/stmicroelectronics/HCF4010YM013TR/497-13665-2-ND/4022767"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n.wikipedia.org/wiki/Bedrock" TargetMode="External"/><Relationship Id="rId13" Type="http://schemas.openxmlformats.org/officeDocument/2006/relationships/hyperlink" Target="http://www.co.burlington.nj.us/DocumentCenter/View/2853/LiDARandGISforMappingWaterTableDepth_BobNicholson_111314?bidId=" TargetMode="External"/><Relationship Id="rId18" Type="http://schemas.openxmlformats.org/officeDocument/2006/relationships/hyperlink" Target="https://www.geothermal-energy.org/pdf/IGAstandard/WGC/2010/2952.pdf" TargetMode="External"/><Relationship Id="rId26" Type="http://schemas.openxmlformats.org/officeDocument/2006/relationships/hyperlink" Target="https://en.wikipedia.org/wiki/Density" TargetMode="External"/><Relationship Id="rId3" Type="http://schemas.openxmlformats.org/officeDocument/2006/relationships/hyperlink" Target="https://www.saginawpipe.com/pipe/" TargetMode="External"/><Relationship Id="rId21" Type="http://schemas.openxmlformats.org/officeDocument/2006/relationships/hyperlink" Target="https://www.edn.com/electronics-products/other/4461891/Brushless-motors-sport-integral-drive" TargetMode="External"/><Relationship Id="rId34" Type="http://schemas.openxmlformats.org/officeDocument/2006/relationships/hyperlink" Target="https://www.osti.gov/servlets/purl/895493" TargetMode="External"/><Relationship Id="rId7" Type="http://schemas.openxmlformats.org/officeDocument/2006/relationships/hyperlink" Target="https://agupubs.onlinelibrary.wiley.com/doi/full/10.1002/2016MS000686" TargetMode="External"/><Relationship Id="rId12" Type="http://schemas.openxmlformats.org/officeDocument/2006/relationships/hyperlink" Target="https://waterdata.usgs.gov/nwis/gw" TargetMode="External"/><Relationship Id="rId17" Type="http://schemas.openxmlformats.org/officeDocument/2006/relationships/hyperlink" Target="https://www.new-learn.info/packages/clear/thermal/buildings/building_fabric/properties/conductivity.html" TargetMode="External"/><Relationship Id="rId25" Type="http://schemas.openxmlformats.org/officeDocument/2006/relationships/hyperlink" Target="https://www.youtube.com/watch?v=nnqdUQo7cWQ" TargetMode="External"/><Relationship Id="rId33" Type="http://schemas.openxmlformats.org/officeDocument/2006/relationships/hyperlink" Target="http://www.iadc.org/wp-content/uploads/2015/08/preview-bits.pdf" TargetMode="External"/><Relationship Id="rId2" Type="http://schemas.openxmlformats.org/officeDocument/2006/relationships/hyperlink" Target="https://agmetalminer.com/metal-prices/stainless-steel/" TargetMode="External"/><Relationship Id="rId16" Type="http://schemas.openxmlformats.org/officeDocument/2006/relationships/hyperlink" Target="https://www.google.com/search?q=how+deep+is+frost+line&amp;rlz=1C1CHBF_enUS816US816&amp;tbm=isch&amp;source=iu&amp;ictx=1&amp;fir=DNmMFVwsSumXCM%253A%252CLXxr7vtWcT7N-M%252C_&amp;vet=1&amp;usg=AI4_-kTIZp4VSmlua_hfOActrea8aONf-w&amp;sa=X&amp;ved=2ahUKEwjz6ZCHkpvhAhWkY98KHaozCfsQ9QEwAHoECAwQCA" TargetMode="External"/><Relationship Id="rId20" Type="http://schemas.openxmlformats.org/officeDocument/2006/relationships/hyperlink" Target="https://www.edn.com/electronics-products/other/4461849/Accelerometer-packs-temperature-sensor-on-same-die" TargetMode="External"/><Relationship Id="rId29" Type="http://schemas.openxmlformats.org/officeDocument/2006/relationships/hyperlink" Target="https://www2.southeastern.edu/orgs/oilspill/asme_hughes_bit.pdf" TargetMode="External"/><Relationship Id="rId1" Type="http://schemas.openxmlformats.org/officeDocument/2006/relationships/hyperlink" Target="https://www.acdirect.com/ac-package-unit-learning-center-ac-sizing-calculator" TargetMode="External"/><Relationship Id="rId6" Type="http://schemas.openxmlformats.org/officeDocument/2006/relationships/hyperlink" Target="https://www.ducksters.com/science/earth_science/soil_science.php" TargetMode="External"/><Relationship Id="rId11" Type="http://schemas.openxmlformats.org/officeDocument/2006/relationships/hyperlink" Target="https://waterdata.usgs.gov/ga/nwis/current/?type=gw" TargetMode="External"/><Relationship Id="rId24" Type="http://schemas.openxmlformats.org/officeDocument/2006/relationships/hyperlink" Target="https://www.youtube.com/watch?v=rlVHXJ6BCF4" TargetMode="External"/><Relationship Id="rId32" Type="http://schemas.openxmlformats.org/officeDocument/2006/relationships/hyperlink" Target="https://www.skillingsandsons.com/blog/our-most-frequently-asked-questions-about-bedrock-water-wells" TargetMode="External"/><Relationship Id="rId5" Type="http://schemas.openxmlformats.org/officeDocument/2006/relationships/hyperlink" Target="https://heatpumpsuppliers.com/Geothermal-Slinky-Pipe-Coils.html" TargetMode="External"/><Relationship Id="rId15" Type="http://schemas.openxmlformats.org/officeDocument/2006/relationships/hyperlink" Target="https://groundwaterwatch.usgs.gov/default.asp" TargetMode="External"/><Relationship Id="rId23" Type="http://schemas.openxmlformats.org/officeDocument/2006/relationships/hyperlink" Target="https://www.youtube.com/watch?v=tIMuRymKhqw" TargetMode="External"/><Relationship Id="rId28" Type="http://schemas.openxmlformats.org/officeDocument/2006/relationships/hyperlink" Target="https://www.texasmonthly.com/the-culture/texas-primer-the-hughes-drill-bit/" TargetMode="External"/><Relationship Id="rId36" Type="http://schemas.openxmlformats.org/officeDocument/2006/relationships/drawing" Target="../drawings/drawing2.xml"/><Relationship Id="rId10" Type="http://schemas.openxmlformats.org/officeDocument/2006/relationships/hyperlink" Target="https://agupubs.onlinelibrary.wiley.com/doi/full/10.1002/2016MS000686" TargetMode="External"/><Relationship Id="rId19" Type="http://schemas.openxmlformats.org/officeDocument/2006/relationships/hyperlink" Target="https://web.mst.edu/~rogersda/umrcourses/ge441/Types-of-Drilling-Rigs.pdf" TargetMode="External"/><Relationship Id="rId31" Type="http://schemas.openxmlformats.org/officeDocument/2006/relationships/hyperlink" Target="https://www.atlascopco.com/content/dam/atlas-copco/mining-and-rock-excavation-technique/drilling-solutions/documents/Deep%20Hole%20Drilling.pdf" TargetMode="External"/><Relationship Id="rId4" Type="http://schemas.openxmlformats.org/officeDocument/2006/relationships/hyperlink" Target="https://www.dropbox.com/s/ro7uixlwp7dt1ld/Report_Rev_08.pdf" TargetMode="External"/><Relationship Id="rId9" Type="http://schemas.openxmlformats.org/officeDocument/2006/relationships/hyperlink" Target="https://pubs.usgs.gov/wri/1993/4115/report.pdf" TargetMode="External"/><Relationship Id="rId14" Type="http://schemas.openxmlformats.org/officeDocument/2006/relationships/hyperlink" Target="https://www.youtube.com/watch?v=UfgyJkmZgK8&amp;app=desktop" TargetMode="External"/><Relationship Id="rId22" Type="http://schemas.openxmlformats.org/officeDocument/2006/relationships/hyperlink" Target="http://articles.adsabs.harvard.edu/full/1989ESASP.302...95M/0000110.000.html" TargetMode="External"/><Relationship Id="rId27" Type="http://schemas.openxmlformats.org/officeDocument/2006/relationships/hyperlink" Target="https://www.made-in-china.com/products-search/hot-china-products/Tricone_Bit_Price.html" TargetMode="External"/><Relationship Id="rId30" Type="http://schemas.openxmlformats.org/officeDocument/2006/relationships/hyperlink" Target="https://escholarship.org/content/qt63r062vf/qt63r062vf.pdf" TargetMode="External"/><Relationship Id="rId35"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ebench.ti.com/power-designer/switching-regulator/select?O1I=0.01&amp;O1V=3.3&amp;VinMax=60&amp;VinMin=14&amp;fromdisty=digikey&amp;lang_chosen=en_US&amp;op_TA=30&amp;refpage=https:%2F%2Fwww.digikey.com%2Fen%2Fproduct-highlight%2Ft%2Ftexas-instruments%2Fwebench-design-center" TargetMode="External"/><Relationship Id="rId299" Type="http://schemas.openxmlformats.org/officeDocument/2006/relationships/hyperlink" Target="https://www.st.com/content/ccc/resource/technical/document/datasheet/group3/24/8d/24/75/a4/df/46/a8/DM00255197/files/DM00255197.pdf/jcr:content/translations/en.DM00255197.pdf" TargetMode="External"/><Relationship Id="rId303" Type="http://schemas.openxmlformats.org/officeDocument/2006/relationships/hyperlink" Target="https://www.mouser.com/ProductDetail/Vishay-BC-Components/BFC233920104?qs=sGAEpiMZZMu3dWSqd4Tl0JEUkSUKlzz6mPgZ06eJw8I%3D" TargetMode="External"/><Relationship Id="rId21" Type="http://schemas.openxmlformats.org/officeDocument/2006/relationships/hyperlink" Target="https://www.edn.com/design/test-and-measurement/4459198/Teardown--A19-LED-bulb" TargetMode="External"/><Relationship Id="rId42" Type="http://schemas.openxmlformats.org/officeDocument/2006/relationships/hyperlink" Target="https://www.st.com/resource/en/datasheet/viper22a-e.pdf" TargetMode="External"/><Relationship Id="rId63" Type="http://schemas.openxmlformats.org/officeDocument/2006/relationships/hyperlink" Target="https://greatercea.org/lightbulb-efficiency-comparison-chart/" TargetMode="External"/><Relationship Id="rId84" Type="http://schemas.openxmlformats.org/officeDocument/2006/relationships/hyperlink" Target="https://iaeimagazine.org/magazine/2004/11/16/low-voltage-lighting-systems-operating-at-30-volts-or-less/" TargetMode="External"/><Relationship Id="rId138" Type="http://schemas.openxmlformats.org/officeDocument/2006/relationships/hyperlink" Target="https://www.digikey.com/products/en/inductors-coils-chokes/fixed-inductors/71?FV=1400008%2Cmu47%C2%B5H%7C2087%2Cffe00047%2C4e804ba%2C4e8007d%2C4e804f7%2C4e80507%2C4e8050f%2C4e80511%2C4e80082%2C4e8008b%2C4e8008c%2C4e8057f%2C4e8008f%2C4e805e3%2C4e805e6%2C4e805ec%2C4e805ee%2C4e8009a%2C4e8009c%2C4e800a0%2C4e800aa%2C4e800ac%2C4e806bf%2C4e800ad%2C4e800ae%2C4e806e5%2C4e800b4%2C4e800b5%2C4e80716%2C4e80718%2C4e800b8%2C4e800b9%2C4e800bb%2C4e8075a%2C4e800be%2C4e8076d%2C4e800bf%2C4e800c0%2C4e800c1%2C4e800c2%2C4e800c7%2C4e800c8%2C4e800cb%2C4e807fd%2C4e800cf%2C4e800d2%2C4e80876%2C4e800dd%2C4e800de%2C4e800df%2C4e800e0%2C4e800e2%2C4e800e5%2C4e800e7%2C4e800e8%2C4e8091c%2C4e800ea%2C4e800eb%2C4e800ed%2C4e800ee%2C4e800ef%2C4e800f0%2C4e800f1%2C4e800f3%2C4e80a24%2C4e8010d%2C4e80aa0%2C4e80b01%2C4e80b24%2C4e80b8c%2C4e80c27%2C4e80c51%2C4e80c5a%2C4e80c64%2C4e80c69%2C4e80c6a%2C4e80c6f%2C4e80c79%2C4e80c94%2C4e80c9a%2C4e80cab%2C4e80cb0%2C4e80cda%2C4e80cdc%2C4e80021%2C4e80ced%2C4e80cf3%2C4e80cf4%2C4e80d0a%2C4e80d3b%2C4e80d51%2C4e80d70%2C4e80d85%2C4e80db6%2C4e80dd1%2C4e80de7%2C4e80e26%2C4e80e4b%2C4e80ea1%2C4e80f0b%2C4e80f25%2C4e80f6c%2C4e80028%2C4e80fc2%2C4e80ff6%2C4e80029%2C4e81067%2C4e810c8%2C4e8112d%2C4e8113f%2C4e811cd%2C4e811de%2C4e811e5%2C4e812f8%2C4e81330%2C4e81362%2C4e813a9%2C4e813d9%2C4e8141a%2C4e81436%2C4e81449%2C4e8148e%2C4e81494%2C4e814b1%2C4e814bf%2C4e814d1%2C4e816c2%2C4e816c6%2C4e816df%2C4e8187f%2C4e81883%2C4e81887%2C4e81888%2C4e8003f%2C4e81923%2C4e81960%2C4e81a2c%2C4e81a34%2C4e81aa5%2C4e81b06%2C4e81b28%2C4e81b48%2C4e80308%2C4e80052%2C4e8033b%2C4e80343%2C4e80055%2C4e80360%2C4e80361%2C4e80364%2C4e80365%2C4e80367%2C4e80058%2C4e8005a%2C4e80060%2C4e80061%2C4e80062%2C4e803d7&amp;quantity=0&amp;ColumnSort=1000011&amp;page=1&amp;pageSize=25" TargetMode="External"/><Relationship Id="rId159" Type="http://schemas.openxmlformats.org/officeDocument/2006/relationships/hyperlink" Target="https://www.digikey.com/products/en/circuit-protection/tvs-varistors-movs/141?FV=ffe0008d%2C1140050%2C1f140000%2Cmu450V%7C2148%2Cmu455V%7C2148%2Cmu468.5V%7C2148%2Cmu470V%7C2148%2Cmu471.5V%7C2148%2Cmu480V%7C2148%2Cmu490V%7C2148%2Cmu501V%7C2148%2Cmu503V%7C2148%2Cmu510V%7C2148%2Cmu513.5V%7C2148%2Cmu518.5V%7C2148%2Cmu528.5V%7C2148%2Cmu549.5V%7C2148%2Cmu559V%7C2148%2Cmu560V%7C2148%2Cmu600V%7C2148&amp;quantity=0&amp;ColumnSort=1000011&amp;page=1&amp;pageSize=25" TargetMode="External"/><Relationship Id="rId324" Type="http://schemas.openxmlformats.org/officeDocument/2006/relationships/hyperlink" Target="https://www.digikey.com/product-detail/en/samsung-electro-mechanics/CL32A226KAJNNNE/1276-1101-2-ND/3886759" TargetMode="External"/><Relationship Id="rId345" Type="http://schemas.openxmlformats.org/officeDocument/2006/relationships/hyperlink" Target="https://power.murata.com/pub/data/power/ncl/kac_bac1.pdf" TargetMode="External"/><Relationship Id="rId170" Type="http://schemas.openxmlformats.org/officeDocument/2006/relationships/hyperlink" Target="http://www.ti.com/lit/ds/symlink/tps7a78.pdf" TargetMode="External"/><Relationship Id="rId191" Type="http://schemas.openxmlformats.org/officeDocument/2006/relationships/hyperlink" Target="https://www.digikey.com/products/en/integrated-circuits-ics/pmic-voltage-regulators-linear/699?FV=1c0001%2C1140071%2C1140543%2C1140003%2C8f40064%2C8f40069%2C8f40087%2C8f40088%2C8f40093%2C8f40010%2C8f400aa%2C8f400b1%2C8f400db%2C8f40034%2C8f40043%2C1bcc0038%2C1bcc025f%2C1bcc0355%2C1f140000%2Cffe002bb&amp;quantity=0&amp;ColumnSort=1000011&amp;page=1&amp;k=ldo&amp;pageSize=25&amp;pkeyword=ldo" TargetMode="External"/><Relationship Id="rId205" Type="http://schemas.openxmlformats.org/officeDocument/2006/relationships/hyperlink" Target="http://www.ti.com/tool/TIDA-010060?jktype=design" TargetMode="External"/><Relationship Id="rId226" Type="http://schemas.openxmlformats.org/officeDocument/2006/relationships/hyperlink" Target="https://en.wikipedia.org/wiki/LED_circuit" TargetMode="External"/><Relationship Id="rId247" Type="http://schemas.openxmlformats.org/officeDocument/2006/relationships/hyperlink" Target="https://www.digikey.com/product-detail/en/tdk-corporation/VLS6045EX-471M/445-180927-2-ND/9607851" TargetMode="External"/><Relationship Id="rId107" Type="http://schemas.openxmlformats.org/officeDocument/2006/relationships/hyperlink" Target="https://www.digikey.com/reference-designs/en/ac-dc-and-dc-dc-conversion/ac-dc-smps-single-output/397" TargetMode="External"/><Relationship Id="rId268" Type="http://schemas.openxmlformats.org/officeDocument/2006/relationships/hyperlink" Target="http://www.ti.com/lit/an/slua905/slua905.pdf" TargetMode="External"/><Relationship Id="rId289" Type="http://schemas.openxmlformats.org/officeDocument/2006/relationships/hyperlink" Target="https://www.digikey.com/product-detail/en/samsung-electro-mechanics/CL21B334KAFNNNE/1276-1808-2-ND/3887466" TargetMode="External"/><Relationship Id="rId11" Type="http://schemas.openxmlformats.org/officeDocument/2006/relationships/hyperlink" Target="https://www.digikey.com/product-detail/en/diodes-incorporated/DMN3023L-7/DMN3023L-7DIDKR-ND/5453191" TargetMode="External"/><Relationship Id="rId32" Type="http://schemas.openxmlformats.org/officeDocument/2006/relationships/hyperlink" Target="https://en.wikipedia.org/wiki/Digital_Serial_Interface" TargetMode="External"/><Relationship Id="rId53" Type="http://schemas.openxmlformats.org/officeDocument/2006/relationships/hyperlink" Target="https://www.edn.com/electronics-blogs/rowe-s-and-columns/4443011/LED-lamp-cycles-on-and-off--why-" TargetMode="External"/><Relationship Id="rId74" Type="http://schemas.openxmlformats.org/officeDocument/2006/relationships/hyperlink" Target="https://www.digikey.com/product-detail/en/on-semiconductor/NCP785AH33T1G/NCP785AH33T1GOSTR-ND/5222198" TargetMode="External"/><Relationship Id="rId128" Type="http://schemas.openxmlformats.org/officeDocument/2006/relationships/hyperlink" Target="http://ww1.microchip.com/downloads/en/DeviceDoc/sr087db1.pdf" TargetMode="External"/><Relationship Id="rId149" Type="http://schemas.openxmlformats.org/officeDocument/2006/relationships/hyperlink" Target="https://www.digikey.com/products/en/discrete-semiconductor-products/diodes-bridge-rectifiers/299?FV=1c0001%2C1140003%2C1f140000%2Cffe0012b%2C8e8004f&amp;quantity=0&amp;ColumnSort=1000011&amp;page=1&amp;pageSize=25" TargetMode="External"/><Relationship Id="rId314" Type="http://schemas.openxmlformats.org/officeDocument/2006/relationships/hyperlink" Target="https://www.digikey.com/product-detail/en/bourns-inc/SDR1005-103KL/SDR1005-103KLTR-ND/1129701" TargetMode="External"/><Relationship Id="rId335" Type="http://schemas.openxmlformats.org/officeDocument/2006/relationships/hyperlink" Target="https://www.st.com/content/ccc/resource/technical/document/application_note/group0/c6/9e/d6/c8/39/93/41/00/DM00415532/files/DM00415532.pdf/jcr:content/translations/en.DM00415532.pdf" TargetMode="External"/><Relationship Id="rId356" Type="http://schemas.openxmlformats.org/officeDocument/2006/relationships/hyperlink" Target="https://www.we-online.com/catalog/datasheet/750316908.pdf" TargetMode="External"/><Relationship Id="rId5" Type="http://schemas.openxmlformats.org/officeDocument/2006/relationships/hyperlink" Target="https://en.wikipedia.org/wiki/RS-485" TargetMode="External"/><Relationship Id="rId95" Type="http://schemas.openxmlformats.org/officeDocument/2006/relationships/hyperlink" Target="https://www.schematics.com/project/10ma-multiple-output-off-line-power-supply-21910/" TargetMode="External"/><Relationship Id="rId160" Type="http://schemas.openxmlformats.org/officeDocument/2006/relationships/hyperlink" Target="https://www.digikey.com/product-detail/en/bourns-inc/MOV-10D561K/MOV-10D561K-ND/2407569" TargetMode="External"/><Relationship Id="rId181" Type="http://schemas.openxmlformats.org/officeDocument/2006/relationships/hyperlink" Target="https://www.digikey.com/product-detail/en/samsung-electro-mechanics/CL31B106KBHNNNE/1276-6767-2-ND/5961251" TargetMode="External"/><Relationship Id="rId216" Type="http://schemas.openxmlformats.org/officeDocument/2006/relationships/hyperlink" Target="https://www.mouser.com/Passive-Components/Capacitors/Ceramic-Capacitors/_/N-5g8m?P=1z0wpqnZ1z0wpseZ1z0whw0Z1z0wps3Z1z0wpznZ1yyirz7Z1yp7xv3Z1yzmotsZ1yzmotq&amp;Ns=Pricing%7c0" TargetMode="External"/><Relationship Id="rId237" Type="http://schemas.openxmlformats.org/officeDocument/2006/relationships/hyperlink" Target="https://www.mouser.com/Passive-Components/Capacitors/Safety-Capacitors/_/N-fb8xl?P=1ykkiycZ1yo19l7Z1yo19msZ1yp7xv3Z1ykl8zz" TargetMode="External"/><Relationship Id="rId258" Type="http://schemas.openxmlformats.org/officeDocument/2006/relationships/hyperlink" Target="https://www.analog.com/media/en/technical-documentation/product-selector-card/DCDCcontroller-web.pdf" TargetMode="External"/><Relationship Id="rId279" Type="http://schemas.openxmlformats.org/officeDocument/2006/relationships/hyperlink" Target="https://www.st.com/en/power-management.html" TargetMode="External"/><Relationship Id="rId22" Type="http://schemas.openxmlformats.org/officeDocument/2006/relationships/hyperlink" Target="https://www.edn.com/design/consumer/4458082/Teardown--A-Wi-Fi-smart-plug-for-home-automation" TargetMode="External"/><Relationship Id="rId43" Type="http://schemas.openxmlformats.org/officeDocument/2006/relationships/hyperlink" Target="https://www.infineon.com/dgdl/Infineon-xmc1100_AB-DS-v01_08-EN.pdf?fileId=5546d4624a0bf290014a4bdaff9325bd" TargetMode="External"/><Relationship Id="rId64" Type="http://schemas.openxmlformats.org/officeDocument/2006/relationships/hyperlink" Target="https://digitalcommons.calpoly.edu/cgi/viewcontent.cgi?article=1385&amp;context=eesp" TargetMode="External"/><Relationship Id="rId118" Type="http://schemas.openxmlformats.org/officeDocument/2006/relationships/hyperlink" Target="https://webench.ti.com/power-designer/switching-regulator/select?O1I=0.01&amp;O1V=3.3&amp;VinMax=60&amp;VinMin=14&amp;fromdisty=digikey&amp;lang_chosen=en_US&amp;op_TA=30&amp;refpage=https:%2F%2Fwww.digikey.com%2Fen%2Fproduct-highlight%2Ft%2Ftexas-instruments%2Fwebench-design-center" TargetMode="External"/><Relationship Id="rId139" Type="http://schemas.openxmlformats.org/officeDocument/2006/relationships/hyperlink" Target="https://www.digikey.com/product-detail/en/taiyo-yuden/NRS8040T470MJGK/587-6119-2-ND/4970848" TargetMode="External"/><Relationship Id="rId290" Type="http://schemas.openxmlformats.org/officeDocument/2006/relationships/hyperlink" Target="https://www.digikey.com/products/en/inductors-coils-chokes/fixed-inductors/71?FV=ffe00047%2C1f140000%2Cmu470%C2%B5H%7C2087&amp;quantity=0&amp;ColumnSort=1000011&amp;page=1&amp;pageSize=25" TargetMode="External"/><Relationship Id="rId304" Type="http://schemas.openxmlformats.org/officeDocument/2006/relationships/hyperlink" Target="https://www.mouser.com/Passive-Components/Capacitors/Ceramic-Capacitors/_/N-5g8m?P=1yx4awuZ1yp7zip&amp;Rl=5g8mZer3vZ1z0wqusZ1z0wquaSGT&amp;Ns=Pricing|0" TargetMode="External"/><Relationship Id="rId325" Type="http://schemas.openxmlformats.org/officeDocument/2006/relationships/hyperlink" Target="http://www.ti.com/lit/df/tidrzh7/tidrzh7.pdf" TargetMode="External"/><Relationship Id="rId346" Type="http://schemas.openxmlformats.org/officeDocument/2006/relationships/hyperlink" Target="https://www.cui.com/product/resource/pbo-1.pdf" TargetMode="External"/><Relationship Id="rId85" Type="http://schemas.openxmlformats.org/officeDocument/2006/relationships/hyperlink" Target="https://www.infineon.com/cms/en/product/microcontroller/32-bit-industrial-microcontroller-based-on-arm-cortex-m/32-bit-xmc1000-industrial-microcontroller-arm-cortex-m0/xmc1301-q040f0008-ab/" TargetMode="External"/><Relationship Id="rId150" Type="http://schemas.openxmlformats.org/officeDocument/2006/relationships/hyperlink" Target="https://www.digikey.com/products/en/discrete-semiconductor-products/diodes-bridge-rectifiers/299?FV=1c0001%2C1140003%2C1f140000%2Cffe0012b&amp;quantity=0&amp;ColumnSort=1000011&amp;page=1&amp;pageSize=25" TargetMode="External"/><Relationship Id="rId171" Type="http://schemas.openxmlformats.org/officeDocument/2006/relationships/hyperlink" Target="http://www.ti.com/product/TPS7A78/pinout-quality" TargetMode="External"/><Relationship Id="rId192" Type="http://schemas.openxmlformats.org/officeDocument/2006/relationships/hyperlink" Target="https://www.digikey.com/product-detail/en/diodes-incorporated/AP7384-50Y-13/AP7384-50Y-13DITR-ND/9765681" TargetMode="External"/><Relationship Id="rId206" Type="http://schemas.openxmlformats.org/officeDocument/2006/relationships/hyperlink" Target="http://www.ti.com/lit/df/tidrzh6/tidrzh6.pdf" TargetMode="External"/><Relationship Id="rId227" Type="http://schemas.openxmlformats.org/officeDocument/2006/relationships/hyperlink" Target="https://en.wikipedia.org/wiki/LED_lamp" TargetMode="External"/><Relationship Id="rId248" Type="http://schemas.openxmlformats.org/officeDocument/2006/relationships/hyperlink" Target="https://www.digikey.com/products/en/resistors/through-hole-resistors/53?k=&amp;pkeyword=&amp;sv=0&amp;sf=0&amp;FV=80005%2C14325e%2C142033%2C1c0001%2C1f140000%2Cmu100+Ohms%7C2085%2Cffe00035&amp;quantity=&amp;ColumnSort=1000011&amp;page=1&amp;pageSize=25" TargetMode="External"/><Relationship Id="rId269" Type="http://schemas.openxmlformats.org/officeDocument/2006/relationships/hyperlink" Target="http://www.ti.com/lit/an/slua821/slua821.pdf" TargetMode="External"/><Relationship Id="rId12" Type="http://schemas.openxmlformats.org/officeDocument/2006/relationships/hyperlink" Target="https://www.edn.com/design/led/4461990/Teardown--Wi-Fi-LED-light-bulb" TargetMode="External"/><Relationship Id="rId33" Type="http://schemas.openxmlformats.org/officeDocument/2006/relationships/hyperlink" Target="https://en.wikipedia.org/wiki/Digital_Addressable_Lighting_Interface" TargetMode="External"/><Relationship Id="rId108" Type="http://schemas.openxmlformats.org/officeDocument/2006/relationships/hyperlink" Target="http://www.ti.com/lit/ug/tidu850b/tidu850b.pdf" TargetMode="External"/><Relationship Id="rId129" Type="http://schemas.openxmlformats.org/officeDocument/2006/relationships/hyperlink" Target="https://www.monolithicpower.com/en/mp100l.html" TargetMode="External"/><Relationship Id="rId280" Type="http://schemas.openxmlformats.org/officeDocument/2006/relationships/hyperlink" Target="https://www.st.com/content/st_com/en/products/power-management/ac-dc-converters.html" TargetMode="External"/><Relationship Id="rId315" Type="http://schemas.openxmlformats.org/officeDocument/2006/relationships/hyperlink" Target="https://www.digikey.com/product-detail/en/bourns-inc/SDR1006-472KL/SDR1006-472KLTR-ND/2352827" TargetMode="External"/><Relationship Id="rId336" Type="http://schemas.openxmlformats.org/officeDocument/2006/relationships/hyperlink" Target="https://www.powerstream.com/Wire_Size.htm" TargetMode="External"/><Relationship Id="rId357" Type="http://schemas.openxmlformats.org/officeDocument/2006/relationships/hyperlink" Target="http://www.ti.com/reference-designs/index.html" TargetMode="External"/><Relationship Id="rId54" Type="http://schemas.openxmlformats.org/officeDocument/2006/relationships/hyperlink" Target="https://www.digikey.com/en/resources/lighting/lighting-product-selector" TargetMode="External"/><Relationship Id="rId75" Type="http://schemas.openxmlformats.org/officeDocument/2006/relationships/hyperlink" Target="https://www.digikey.com/product-detail/en/richtek-usa-inc/RT9068-33GSP/1028-1315-2-ND/4733344" TargetMode="External"/><Relationship Id="rId96" Type="http://schemas.openxmlformats.org/officeDocument/2006/relationships/hyperlink" Target="https://www.rs-online.com/designspark/benefits-of-very-high-input-voltage-linear-regulators" TargetMode="External"/><Relationship Id="rId140" Type="http://schemas.openxmlformats.org/officeDocument/2006/relationships/hyperlink" Target="https://www.digikey.com/product-detail/en/monolithic-power-systems-inc/MP2456GJ-Z/1589-1894-2-ND/9555318" TargetMode="External"/><Relationship Id="rId161" Type="http://schemas.openxmlformats.org/officeDocument/2006/relationships/hyperlink" Target="https://www.digikey.com/product-detail/en/vishay-dale/CRCW251210R0FKEG/541-10.0AFTR-ND/1173516" TargetMode="External"/><Relationship Id="rId182" Type="http://schemas.openxmlformats.org/officeDocument/2006/relationships/hyperlink" Target="https://www.digikey.com/product-detail/en/samsung-electro-mechanics/CL31B475KBHNNNE/1276-2789-2-ND/3888447" TargetMode="External"/><Relationship Id="rId217" Type="http://schemas.openxmlformats.org/officeDocument/2006/relationships/hyperlink" Target="https://www.eng-tips.com/viewthread.cfm?qid=423389" TargetMode="External"/><Relationship Id="rId6" Type="http://schemas.openxmlformats.org/officeDocument/2006/relationships/hyperlink" Target="https://www.st.com/content/ccc/resource/technical/document/datasheet/4b/81/a8/cd/8a/72/47/82/CD00002183.pdf/files/CD00002183.pdf/jcr:content/translations/en.CD00002183.pdf" TargetMode="External"/><Relationship Id="rId238" Type="http://schemas.openxmlformats.org/officeDocument/2006/relationships/hyperlink" Target="https://www.mouser.com/Passive-Components/Capacitors/Safety-Capacitors/_/N-fb8xl?P=1ykkiycZ1yo19l7Z1yo19msZ1yp7xv3Z1ykl8zzZ1z0wqua&amp;Ns=Pricing|0" TargetMode="External"/><Relationship Id="rId259" Type="http://schemas.openxmlformats.org/officeDocument/2006/relationships/hyperlink" Target="https://www.analog.com/en/design-center/ltpowercad.html" TargetMode="External"/><Relationship Id="rId23" Type="http://schemas.openxmlformats.org/officeDocument/2006/relationships/hyperlink" Target="https://www.edn.com/electronics-blogs/led-zone/4440717/Will-LED-based-Wi-Fi-work-" TargetMode="External"/><Relationship Id="rId119" Type="http://schemas.openxmlformats.org/officeDocument/2006/relationships/hyperlink" Target="https://training.ti.com/how-use-pmp21251-achieve-less-90mw-standby-power-auxless-acdc-power-supply?keyMatch=power%20supply%20milliwatt&amp;tisearch=Search-EN-Everything" TargetMode="External"/><Relationship Id="rId270" Type="http://schemas.openxmlformats.org/officeDocument/2006/relationships/hyperlink" Target="http://sim.okawa-denshi.jp/en/RLClowkeisan.htm" TargetMode="External"/><Relationship Id="rId291" Type="http://schemas.openxmlformats.org/officeDocument/2006/relationships/hyperlink" Target="https://www.digikey.com/products/en/inductors-coils-chokes/fixed-inductors/71?k=&amp;pkeyword=&amp;sv=0&amp;pv80=8&amp;sf=0&amp;FV=1f140000%2Cmu1mH%7C2087%2Cmu150mA%7C2088%2Cmu156mA%7C2088%2Cmu160mA%7C2088%2Cmu170mA%7C2088%2Cmu172mA%7C2088%2Cmu180mA%7C2088%2Cmu190mA%7C2088%2Cmu200mA%7C2088%2Cffe00047&amp;quantity=&amp;ColumnSort=1000011&amp;page=1&amp;pageSize=25" TargetMode="External"/><Relationship Id="rId305" Type="http://schemas.openxmlformats.org/officeDocument/2006/relationships/hyperlink" Target="https://www.digikey.com/products/en/resistors/chip-resistor-surface-mount/52?FV=mu100+Ohms%7C2085%2Cffe00034%2C80005&amp;quantity=0&amp;ColumnSort=1000011&amp;page=1&amp;k=resistor&amp;pageSize=25&amp;pkeyword=resistor" TargetMode="External"/><Relationship Id="rId326" Type="http://schemas.openxmlformats.org/officeDocument/2006/relationships/hyperlink" Target="http://www.ti.com/lit/df/tidrzh6/tidrzh6.pdf" TargetMode="External"/><Relationship Id="rId347" Type="http://schemas.openxmlformats.org/officeDocument/2006/relationships/hyperlink" Target="http://www.ti.com/tool/PMP21884" TargetMode="External"/><Relationship Id="rId44" Type="http://schemas.openxmlformats.org/officeDocument/2006/relationships/hyperlink" Target="https://www.infineon.com/dgdl/Infineon-IP_CCU4_XMC-TR-v01_02-EN.pdf?fileId=5546d4624ad04ef9014b0780bb082263" TargetMode="External"/><Relationship Id="rId65" Type="http://schemas.openxmlformats.org/officeDocument/2006/relationships/hyperlink" Target="https://web.calpoly.edu/~taufik/design.html" TargetMode="External"/><Relationship Id="rId86" Type="http://schemas.openxmlformats.org/officeDocument/2006/relationships/hyperlink" Target="https://www.infineon.com/dgdl/Infineon-xmc1300_AB-DS-v02_00-EN.pdf?fileId=5546d4624a0bf290014a4bdb073c25c6" TargetMode="External"/><Relationship Id="rId130" Type="http://schemas.openxmlformats.org/officeDocument/2006/relationships/hyperlink" Target="https://www.monolithicpower.com/pub/media/document/MP103_r1.01.pdf" TargetMode="External"/><Relationship Id="rId151" Type="http://schemas.openxmlformats.org/officeDocument/2006/relationships/hyperlink" Target="https://www.digikey.com/product-detail/en/smc-diode-solutions/ABS8TR/1655-1958-2-ND/7244598" TargetMode="External"/><Relationship Id="rId172" Type="http://schemas.openxmlformats.org/officeDocument/2006/relationships/hyperlink" Target="http://www.ti.com/product/UCC28880" TargetMode="External"/><Relationship Id="rId193" Type="http://schemas.openxmlformats.org/officeDocument/2006/relationships/hyperlink" Target="https://www.digikey.com/products/en/discrete-semiconductor-products/diodes-rectifiers-single/280?k=diode&amp;k=&amp;pkeyword=diode&amp;sv=0&amp;pv16=12624&amp;sf=1&amp;FV=1140003%2C180004b%2C1f140000%2Cmu200V%7C2071%2Cffe00118&amp;quantity=&amp;ColumnSort=1000011&amp;page=1&amp;pageSize=25" TargetMode="External"/><Relationship Id="rId207" Type="http://schemas.openxmlformats.org/officeDocument/2006/relationships/hyperlink" Target="http://www.ti.com/lit/df/tidrzh7/tidrzh7.pdf" TargetMode="External"/><Relationship Id="rId228" Type="http://schemas.openxmlformats.org/officeDocument/2006/relationships/hyperlink" Target="http://www.yageo.com/NewPortal/yageodocoutput?fileName=/pdf/throughhole/Yageo_LR_FKN_2013.pdf" TargetMode="External"/><Relationship Id="rId249" Type="http://schemas.openxmlformats.org/officeDocument/2006/relationships/hyperlink" Target="https://www.digikey.com/product-detail/en/vishay-bc-components/NFR25H0001000JR500/PPC100BTR-ND/614118" TargetMode="External"/><Relationship Id="rId13" Type="http://schemas.openxmlformats.org/officeDocument/2006/relationships/hyperlink" Target="https://www.edn.com/design/led/4442724/Teardown--What-killed-this-LED-bulb-" TargetMode="External"/><Relationship Id="rId109" Type="http://schemas.openxmlformats.org/officeDocument/2006/relationships/hyperlink" Target="http://www.ti.com/power-management/non-isolated-dc-dc-switching-regulators/overview.html" TargetMode="External"/><Relationship Id="rId260" Type="http://schemas.openxmlformats.org/officeDocument/2006/relationships/hyperlink" Target="https://www.analog.com/media/en/technical-documentation/application-notes/AN140.pdf" TargetMode="External"/><Relationship Id="rId281" Type="http://schemas.openxmlformats.org/officeDocument/2006/relationships/hyperlink" Target="https://en.m.wikipedia.org/wiki/Mains_electricity" TargetMode="External"/><Relationship Id="rId316" Type="http://schemas.openxmlformats.org/officeDocument/2006/relationships/hyperlink" Target="https://www.digikey.com/products/en/capacitors/ceramic-capacitors/60?FV=1c0001%2C380001%2C380475%2C3800cf%2C380018%2C38010c%2Cmu0.1%C2%B5F%7C2049%2Cmu0.12%C2%B5F%7C2049%2Cmu0.14%C2%B5F%7C2049%2Cmu0.15%C2%B5F%7C2049%2Cmu0.16%C2%B5F%7C2049%2Cmu0.18%C2%B5F%7C2049%2Cmu0.2%C2%B5F%7C2049%2Cmu0.22%C2%B5F%7C2049%2Cmu0.25%C2%B5F%7C2049%2Cmu0.27%C2%B5F%7C2049%2Cmu0.3%C2%B5F%7C2049%2Cmu0.33%C2%B5F%7C2049%2Cmu0.39%C2%B5F%7C2049%2Cmu0.47%C2%B5F%7C2049%2Cmu0.5%C2%B5F%7C2049%2Cmu0.56%C2%B5F%7C2049%2Cmu0.68%C2%B5F%7C2049%2Cmu0.75%C2%B5F%7C2049%2Cmu1%C2%B5F%7C2049%2Cffe0003c%2C1f140000&amp;quantity=0&amp;ColumnSort=1000011&amp;page=1&amp;pageSize=25" TargetMode="External"/><Relationship Id="rId337" Type="http://schemas.openxmlformats.org/officeDocument/2006/relationships/hyperlink" Target="https://www.rane.com/note126.html" TargetMode="External"/><Relationship Id="rId34" Type="http://schemas.openxmlformats.org/officeDocument/2006/relationships/hyperlink" Target="https://en.wikipedia.org/wiki/D54_(protocol)" TargetMode="External"/><Relationship Id="rId55" Type="http://schemas.openxmlformats.org/officeDocument/2006/relationships/hyperlink" Target="https://www.bridgelux.com/sites/default/files/resource_media/Bridgelux%20DS90%20Vero%2010%20Gen%207%20Array%20Data%20Sheet%2020181105%20Rev%20N.pdf" TargetMode="External"/><Relationship Id="rId76" Type="http://schemas.openxmlformats.org/officeDocument/2006/relationships/hyperlink" Target="https://www.analog.com/en/products/lt3795.html" TargetMode="External"/><Relationship Id="rId97" Type="http://schemas.openxmlformats.org/officeDocument/2006/relationships/hyperlink" Target="https://electronics.stackexchange.com/questions/263988/connecting-the-linear-regulator-directly-to-ac-line" TargetMode="External"/><Relationship Id="rId120" Type="http://schemas.openxmlformats.org/officeDocument/2006/relationships/hyperlink" Target="http://www.ti.com/tool/LOADDETECTPWRSUPPLY-REF?keyMatch=power%20supply%20milliwatt&amp;tisearch=Search-EN-Everything" TargetMode="External"/><Relationship Id="rId141" Type="http://schemas.openxmlformats.org/officeDocument/2006/relationships/hyperlink" Target="https://www.digikey.com/products/en/inductors-coils-chokes/fixed-inductors/71" TargetMode="External"/><Relationship Id="rId358" Type="http://schemas.openxmlformats.org/officeDocument/2006/relationships/hyperlink" Target="http://www.ti.com/reference-designs/index.html" TargetMode="External"/><Relationship Id="rId7" Type="http://schemas.openxmlformats.org/officeDocument/2006/relationships/hyperlink" Target="https://datasheets.maximintegrated.com/en/ds/MAX13487E-MAX13488E.pdf" TargetMode="External"/><Relationship Id="rId162" Type="http://schemas.openxmlformats.org/officeDocument/2006/relationships/hyperlink" Target="https://www.digikey.com/products/en/resistors/chip-resistor-surface-mount/52?k=resistor+chip&amp;k=&amp;pkeyword=resistor+chip&amp;sv=0&amp;pv2=8&amp;sf=0&amp;FV=1c0001%2C1f140000%2Cmu10+Ohms%7C2085%2Cffe00034&amp;quantity=&amp;ColumnSort=0&amp;page=1&amp;pageSize=25" TargetMode="External"/><Relationship Id="rId183" Type="http://schemas.openxmlformats.org/officeDocument/2006/relationships/hyperlink" Target="https://www.digikey.com/product-detail/en/samsung-electro-mechanics/CL31B225KBHNNNF/CL31B225KBHNNNF-ND/3894683" TargetMode="External"/><Relationship Id="rId218" Type="http://schemas.openxmlformats.org/officeDocument/2006/relationships/hyperlink" Target="https://www.mysouthwire.com/medias/sys_master/product-specifications/product-specifications/hd0/hda/8854083600414.pdf" TargetMode="External"/><Relationship Id="rId239" Type="http://schemas.openxmlformats.org/officeDocument/2006/relationships/hyperlink" Target="https://www.mouser.com/ProductDetail/KEMET/R49AN34700001K?qs=sGAEpiMZZMu3dWSqd4Tl0Mk92qi26PsTijC3Id1AmBjk0u4WzSuATg%3D%3D" TargetMode="External"/><Relationship Id="rId250" Type="http://schemas.openxmlformats.org/officeDocument/2006/relationships/hyperlink" Target="https://www.digikey.com/product-detail/en/vishay-bc-components/NFR25H0001000JR500/PPC100BTR-ND/614118" TargetMode="External"/><Relationship Id="rId271" Type="http://schemas.openxmlformats.org/officeDocument/2006/relationships/hyperlink" Target="https://www.digikey.com/product-detail/en/taiyo-yuden/CB2518T471K/587-2194-2-ND/2002809" TargetMode="External"/><Relationship Id="rId292" Type="http://schemas.openxmlformats.org/officeDocument/2006/relationships/hyperlink" Target="https://www.digikey.com/product-detail/en/tdk-corporation/MLZ2012N101LT000/445-9496-2-ND/3910287" TargetMode="External"/><Relationship Id="rId306" Type="http://schemas.openxmlformats.org/officeDocument/2006/relationships/hyperlink" Target="https://www.digikey.com/product-detail/en/stackpole-electronics-inc/RNCP1206FTD49R9/RNCP1206FTD49R9TR-ND/2240310" TargetMode="External"/><Relationship Id="rId24" Type="http://schemas.openxmlformats.org/officeDocument/2006/relationships/hyperlink" Target="https://www.edn.com/electronics-blogs/eye-on-iot-/4458410/Connected-lighting-may-be-the-IoT-killer-app" TargetMode="External"/><Relationship Id="rId45" Type="http://schemas.openxmlformats.org/officeDocument/2006/relationships/hyperlink" Target="https://www.infineon.com/dgdl/Infineon-Training_Lighting_XMC_in_LED_Lighting_Applications.pdf-TR-v01_00-EN.pdf?fileId=5546d46253f6505701540f6ca00e1ab1" TargetMode="External"/><Relationship Id="rId66" Type="http://schemas.openxmlformats.org/officeDocument/2006/relationships/hyperlink" Target="https://digitalcommons.calpoly.edu/cgi/viewcontent.cgi?referer=https://www.google.com/&amp;httpsredir=1&amp;article=1424&amp;context=eesp" TargetMode="External"/><Relationship Id="rId87" Type="http://schemas.openxmlformats.org/officeDocument/2006/relationships/hyperlink" Target="https://www.diodeled.com/low-voltage-safety-understanding-class-2-compliance/" TargetMode="External"/><Relationship Id="rId110" Type="http://schemas.openxmlformats.org/officeDocument/2006/relationships/hyperlink" Target="http://www.ti.com/tool/PMP5412?keyMatch=ac%20to%20dc&amp;tisearch=Search-EN-Everything" TargetMode="External"/><Relationship Id="rId131" Type="http://schemas.openxmlformats.org/officeDocument/2006/relationships/hyperlink" Target="https://www.microchip.com/design-centers/power-management/dc-dc-converters-regulators/switching-regulators/inductorless-offline-switching-regulators" TargetMode="External"/><Relationship Id="rId327" Type="http://schemas.openxmlformats.org/officeDocument/2006/relationships/hyperlink" Target="http://www.ti.com/tool/TIDA-010060?jktype=design" TargetMode="External"/><Relationship Id="rId348" Type="http://schemas.openxmlformats.org/officeDocument/2006/relationships/hyperlink" Target="http://www.ti.com/reference-designs/index.html" TargetMode="External"/><Relationship Id="rId152" Type="http://schemas.openxmlformats.org/officeDocument/2006/relationships/hyperlink" Target="https://www.digikey.com/products/en/circuit-protection/tvs-varistors-movs/141?k=mov&amp;k=&amp;pkeyword=mov&amp;sv=0&amp;pv1989=0&amp;pv69=524&amp;pv69=3&amp;pv69=1135&amp;sf=1&amp;FV=ffe0008d&amp;quantity=&amp;ColumnSort=0&amp;page=1&amp;pageSize=25" TargetMode="External"/><Relationship Id="rId173" Type="http://schemas.openxmlformats.org/officeDocument/2006/relationships/hyperlink" Target="http://www.ti.com/lit/ug/sluub56c/sluub56c.pdf" TargetMode="External"/><Relationship Id="rId194" Type="http://schemas.openxmlformats.org/officeDocument/2006/relationships/hyperlink" Target="https://www.onsemi.com/pub/Collateral/BAS19LT1-D.PDF" TargetMode="External"/><Relationship Id="rId208" Type="http://schemas.openxmlformats.org/officeDocument/2006/relationships/hyperlink" Target="https://www.monolithicpower.com/en/mp171.html" TargetMode="External"/><Relationship Id="rId229" Type="http://schemas.openxmlformats.org/officeDocument/2006/relationships/hyperlink" Target="https://www.digikey.com/product-detail/en/taiyo-yuden/CB2012T220K/587-2455-2-ND/2230240" TargetMode="External"/><Relationship Id="rId240" Type="http://schemas.openxmlformats.org/officeDocument/2006/relationships/hyperlink" Target="https://www.monolithicpower.com/mp171.html" TargetMode="External"/><Relationship Id="rId261" Type="http://schemas.openxmlformats.org/officeDocument/2006/relationships/hyperlink" Target="https://www.analog.com/media/en/technical-documentation/application-notes/an158f.pdf" TargetMode="External"/><Relationship Id="rId14" Type="http://schemas.openxmlformats.org/officeDocument/2006/relationships/hyperlink" Target="https://www.edn.com/design/test-and-measurement/4459198/Teardown--A19-LED-bulb" TargetMode="External"/><Relationship Id="rId35" Type="http://schemas.openxmlformats.org/officeDocument/2006/relationships/hyperlink" Target="https://en.wikipedia.org/wiki/AMX192" TargetMode="External"/><Relationship Id="rId56" Type="http://schemas.openxmlformats.org/officeDocument/2006/relationships/hyperlink" Target="https://www.digikey.com/product-detail/en/bridgelux/BXEP-30E-163-18A-00-00-0/976-1628-1-ND/6618630" TargetMode="External"/><Relationship Id="rId77" Type="http://schemas.openxmlformats.org/officeDocument/2006/relationships/hyperlink" Target="https://digitalcommons.calpoly.edu/cgi/viewcontent.cgi?article=1463&amp;context=eesp" TargetMode="External"/><Relationship Id="rId100" Type="http://schemas.openxmlformats.org/officeDocument/2006/relationships/hyperlink" Target="https://www.quora.com/How-do-you-measure-the-voltage-of-an-electrical-outlet" TargetMode="External"/><Relationship Id="rId282" Type="http://schemas.openxmlformats.org/officeDocument/2006/relationships/hyperlink" Target="https://en.m.wikipedia.org/wiki/Ground_and_neutral" TargetMode="External"/><Relationship Id="rId317" Type="http://schemas.openxmlformats.org/officeDocument/2006/relationships/hyperlink" Target="https://www.digikey.com/product-detail/en/tdk-corporation/C4532X7R2J104K230KE/445-173662-2-ND/5809227" TargetMode="External"/><Relationship Id="rId338" Type="http://schemas.openxmlformats.org/officeDocument/2006/relationships/hyperlink" Target="https://www.digikey.com/product-detail/en/rohm-semiconductor/LTR18EZPF49R9/RHM49.9YTR-ND/4052946" TargetMode="External"/><Relationship Id="rId359" Type="http://schemas.openxmlformats.org/officeDocument/2006/relationships/hyperlink" Target="https://www.st.com/resource/en/datasheet/STCH02.pdf" TargetMode="External"/><Relationship Id="rId8" Type="http://schemas.openxmlformats.org/officeDocument/2006/relationships/hyperlink" Target="https://peer.asee.org/the-relationship-between-the-tightening-torque-and-the-clamp-force.pdf" TargetMode="External"/><Relationship Id="rId98" Type="http://schemas.openxmlformats.org/officeDocument/2006/relationships/hyperlink" Target="https://www.power.com/sites/default/files/product-docs/lnk302_304-306.pdf" TargetMode="External"/><Relationship Id="rId121" Type="http://schemas.openxmlformats.org/officeDocument/2006/relationships/hyperlink" Target="http://www.ti.com/tool/TIDA-010060?jktype=design" TargetMode="External"/><Relationship Id="rId142" Type="http://schemas.openxmlformats.org/officeDocument/2006/relationships/hyperlink" Target="https://www.digikey.com/product-detail/en/taiyo-yuden/NRS4018T4R7MDGJ/587-2893-2-ND/2648971" TargetMode="External"/><Relationship Id="rId163" Type="http://schemas.openxmlformats.org/officeDocument/2006/relationships/hyperlink" Target="https://www.digikey.com/product-detail/en/te-connectivity-passive-product/352210RJT/A121124TR-ND/5244975" TargetMode="External"/><Relationship Id="rId184" Type="http://schemas.openxmlformats.org/officeDocument/2006/relationships/hyperlink" Target="https://www.digikey.com/products/en/inductors-coils-chokes/fixed-inductors/71" TargetMode="External"/><Relationship Id="rId219" Type="http://schemas.openxmlformats.org/officeDocument/2006/relationships/hyperlink" Target="https://www.southwire.com/Building-Wire/c/building-wire" TargetMode="External"/><Relationship Id="rId230" Type="http://schemas.openxmlformats.org/officeDocument/2006/relationships/hyperlink" Target="http://www.ti.com/lit/df/tidrzh7/tidrzh7.pdf" TargetMode="External"/><Relationship Id="rId251" Type="http://schemas.openxmlformats.org/officeDocument/2006/relationships/hyperlink" Target="https://www.digikey.com/products/en/circuit-protection/tvs-varistors-movs/141?k=&amp;pkeyword=&amp;sv=0&amp;pv2152=u60V&amp;pv2152=u63V&amp;pv2152=u65V&amp;pv2152=u66V&amp;sf=0&amp;FV=1c0001%2C1f140000%2Cffe0008d&amp;quantity=&amp;ColumnSort=1000011&amp;page=1&amp;pageSize=25" TargetMode="External"/><Relationship Id="rId25" Type="http://schemas.openxmlformats.org/officeDocument/2006/relationships/hyperlink" Target="http://www.edn.com/electronics-blogs/living-analog/4442767/LED-bulbs-can-bring-heat" TargetMode="External"/><Relationship Id="rId46" Type="http://schemas.openxmlformats.org/officeDocument/2006/relationships/hyperlink" Target="https://www.digikey.com/products/en/integrated-circuits-ics/embedded-microcontrollers/685?k=xmc1200&amp;k=&amp;pkeyword=xmc1200&amp;sv=0&amp;pv1989=0&amp;sf=0&amp;FV=ffe002ad&amp;quantity=&amp;ColumnSort=0&amp;page=1&amp;pageSize=25" TargetMode="External"/><Relationship Id="rId67" Type="http://schemas.openxmlformats.org/officeDocument/2006/relationships/hyperlink" Target="https://www.cui.com/product/resource/vsk-s5-t.pdf" TargetMode="External"/><Relationship Id="rId272" Type="http://schemas.openxmlformats.org/officeDocument/2006/relationships/hyperlink" Target="https://www.digikey.com/products/en/inductors-coils-chokes/fixed-inductors/71?FV=ffe00047%2Cmu1mH%7C2087&amp;quantity=0&amp;ColumnSort=1000011&amp;page=1&amp;pageSize=25" TargetMode="External"/><Relationship Id="rId293" Type="http://schemas.openxmlformats.org/officeDocument/2006/relationships/hyperlink" Target="https://www.digikey.com/product-detail/en/bourns-inc/SRR7032-102M/SRR7032-102MTR-ND/1970417" TargetMode="External"/><Relationship Id="rId307" Type="http://schemas.openxmlformats.org/officeDocument/2006/relationships/hyperlink" Target="http://ksim.kemet.com/Plots/SpicePlots.aspx" TargetMode="External"/><Relationship Id="rId328" Type="http://schemas.openxmlformats.org/officeDocument/2006/relationships/hyperlink" Target="https://www.digikey.com/product-detail/en/samsung-electro-mechanics/CL32A226KOJNNNF/CL32A226KOJNNNF-ND/3894768" TargetMode="External"/><Relationship Id="rId349" Type="http://schemas.openxmlformats.org/officeDocument/2006/relationships/hyperlink" Target="http://www.ti.com/lit/df/tidrs78/tidrs78.pdf" TargetMode="External"/><Relationship Id="rId88" Type="http://schemas.openxmlformats.org/officeDocument/2006/relationships/hyperlink" Target="https://escventura.com/manuals/sola_introNECclass2_rg.pdf" TargetMode="External"/><Relationship Id="rId111" Type="http://schemas.openxmlformats.org/officeDocument/2006/relationships/hyperlink" Target="https://datasheets.maximintegrated.com/en/ds/MAXM17552.pdf" TargetMode="External"/><Relationship Id="rId132" Type="http://schemas.openxmlformats.org/officeDocument/2006/relationships/hyperlink" Target="https://www.digikey.com/products/en/integrated-circuits-ics/pmic-voltage-regulators-dc-dc-switching-regulators/739?FV=8f40064%2C8f40069%2C8f40087%2C8f40088%2C8f40098%2C8f40010%2C8f400a4%2C8f400a7%2C8f40011%2C8f400ab%2C8f40012%2C8f400d9%2C8f400da%2C8f400db%2C8f400e3%2C8f4012c%2C8f40021%2C8f4015a%2C8f40035%2C8f4005a%2C8f40063%2Cffe002e3&amp;quantity=1000&amp;ColumnSort=1000011&amp;page=1&amp;k=buck+converter&amp;pageSize=25&amp;pkeyword=buck+converter" TargetMode="External"/><Relationship Id="rId153" Type="http://schemas.openxmlformats.org/officeDocument/2006/relationships/hyperlink" Target="https://www.digikey.com/products/en/circuit-protection/tvs-varistors-movs/141?FV=114046f%2C1140003%2C114020c%2C1f140000%2Cffe0008d%2Cmu200V%7C2152&amp;quantity=0&amp;ColumnSort=1000011&amp;page=1&amp;k=mov&amp;pageSize=25&amp;pkeyword=mov" TargetMode="External"/><Relationship Id="rId174" Type="http://schemas.openxmlformats.org/officeDocument/2006/relationships/hyperlink" Target="http://www.ti.com/lit/ds/symlink/tps54062.pdf" TargetMode="External"/><Relationship Id="rId195" Type="http://schemas.openxmlformats.org/officeDocument/2006/relationships/hyperlink" Target="https://www.infineon.com/dgdl/Infineon-Linear_Regulators_and_Trackers_Protection_Circuits-AN-v01_11-EN.pdf?fileId=5546d4624e24005f014e7239697b7293" TargetMode="External"/><Relationship Id="rId209" Type="http://schemas.openxmlformats.org/officeDocument/2006/relationships/hyperlink" Target="https://www.digikey.com/product-detail/en/te-connectivity-passive-product/SMW233RJT/A103594TR-ND/2366519" TargetMode="External"/><Relationship Id="rId360" Type="http://schemas.openxmlformats.org/officeDocument/2006/relationships/hyperlink" Target="http://www.ti.com/lit/ds/symlink/ucc28742.pdf" TargetMode="External"/><Relationship Id="rId220" Type="http://schemas.openxmlformats.org/officeDocument/2006/relationships/hyperlink" Target="https://en.wikipedia.org/wiki/Light-emitting_diode" TargetMode="External"/><Relationship Id="rId241" Type="http://schemas.openxmlformats.org/officeDocument/2006/relationships/hyperlink" Target="https://www.monolithicpower.com/en/documentview/productdocument/index/doc_url/L0VWMTcxLUotMDBBX3IxLjAucGRm/prod_id/MTI4NQ/" TargetMode="External"/><Relationship Id="rId15" Type="http://schemas.openxmlformats.org/officeDocument/2006/relationships/hyperlink" Target="https://en.wikipedia.org/wiki/0-10_V_lighting_control" TargetMode="External"/><Relationship Id="rId36" Type="http://schemas.openxmlformats.org/officeDocument/2006/relationships/hyperlink" Target="https://en.wikipedia.org/wiki/Lighting_control_system" TargetMode="External"/><Relationship Id="rId57" Type="http://schemas.openxmlformats.org/officeDocument/2006/relationships/hyperlink" Target="https://en.wikipedia.org/wiki/LED_lamp" TargetMode="External"/><Relationship Id="rId106" Type="http://schemas.openxmlformats.org/officeDocument/2006/relationships/hyperlink" Target="https://www.digikey.com/reference-designs/en/ac-dc-and-dc-dc-conversion/ac-dc-smps-single-output?filter=6|739587+6|729421+6|738400+6|729393+6|751073+6|735317+6|73+6|732400+6|730855+6|732420" TargetMode="External"/><Relationship Id="rId127" Type="http://schemas.openxmlformats.org/officeDocument/2006/relationships/hyperlink" Target="https://www.monolithicpower.com/pub/media/document/MP100L_r1.0.pdf" TargetMode="External"/><Relationship Id="rId262" Type="http://schemas.openxmlformats.org/officeDocument/2006/relationships/hyperlink" Target="https://www.monolithicpower.com/pub/media/document/MP4410_r1.0.pdf" TargetMode="External"/><Relationship Id="rId283" Type="http://schemas.openxmlformats.org/officeDocument/2006/relationships/hyperlink" Target="https://www.st.com/content/ccc/resource/technical/document/datasheet/group3/24/8d/24/75/a4/df/46/a8/DM00255197/files/DM00255197.pdf/jcr:content/translations/en.DM00255197.pdf" TargetMode="External"/><Relationship Id="rId313" Type="http://schemas.openxmlformats.org/officeDocument/2006/relationships/hyperlink" Target="https://www.digikey.com/products/en/inductors-coils-chokes/fixed-inductors/71?k=inductor&amp;k=&amp;pkeyword=inductor&amp;sv=0&amp;umin2088=80&amp;umax2088=200&amp;rfu2088=mA&amp;sf=1&amp;FV=1140003%2C1f140000%2Cmu10mH%7C2087%7C1%2Cmu2.2mH%7C2087%7C0%2Cffe00047&amp;quantity=&amp;ColumnSort=1000011&amp;page=1&amp;pageSize=25" TargetMode="External"/><Relationship Id="rId318" Type="http://schemas.openxmlformats.org/officeDocument/2006/relationships/hyperlink" Target="https://www.digikey.com/product-detail/en/kemet/C1210C104KBRAC7800/399-13490-2-ND/6126195" TargetMode="External"/><Relationship Id="rId339" Type="http://schemas.openxmlformats.org/officeDocument/2006/relationships/hyperlink" Target="https://www.electronics-tutorials.ws/rc/rc_1.html" TargetMode="External"/><Relationship Id="rId10" Type="http://schemas.openxmlformats.org/officeDocument/2006/relationships/hyperlink" Target="https://www.infineon.com/dgdl/Infineon-xmc1100_AB-DS-v01_08-EN.pdf?fileId=5546d4624a0bf290014a4bdaff9325bd" TargetMode="External"/><Relationship Id="rId31" Type="http://schemas.openxmlformats.org/officeDocument/2006/relationships/hyperlink" Target="https://en.wikipedia.org/wiki/DMX512" TargetMode="External"/><Relationship Id="rId52" Type="http://schemas.openxmlformats.org/officeDocument/2006/relationships/hyperlink" Target="https://en.wikipedia.org/wiki/LED_lamp" TargetMode="External"/><Relationship Id="rId73" Type="http://schemas.openxmlformats.org/officeDocument/2006/relationships/hyperlink" Target="https://www.digikey.com/products/en/integrated-circuits-ics/pmic-voltage-regulators-linear/699?FV=1bcc0032%2C1bcc02a1%2Cffe002bb%2C8f40064%2C8f40088%2C8f40093%2C8f40010%2C8f400b1%2C8f400db&amp;quantity=0&amp;ColumnSort=1000011&amp;page=1&amp;pageSize=25" TargetMode="External"/><Relationship Id="rId78" Type="http://schemas.openxmlformats.org/officeDocument/2006/relationships/hyperlink" Target="http://lumencache.lighting/why-lumencache/" TargetMode="External"/><Relationship Id="rId94" Type="http://schemas.openxmlformats.org/officeDocument/2006/relationships/hyperlink" Target="http://www.onsemi.com/pub/Collateral/NCP785A-D.PDF" TargetMode="External"/><Relationship Id="rId99" Type="http://schemas.openxmlformats.org/officeDocument/2006/relationships/hyperlink" Target="https://www.microchip.com/wwwproducts/en/LR8" TargetMode="External"/><Relationship Id="rId101" Type="http://schemas.openxmlformats.org/officeDocument/2006/relationships/hyperlink" Target="https://forum.mysensors.org/topic/687/230v-power-supply-to-arduino/6" TargetMode="External"/><Relationship Id="rId122" Type="http://schemas.openxmlformats.org/officeDocument/2006/relationships/hyperlink" Target="http://www.ti.com/lit/df/tidrzh6/tidrzh6.pdf" TargetMode="External"/><Relationship Id="rId143" Type="http://schemas.openxmlformats.org/officeDocument/2006/relationships/hyperlink" Target="https://www.monolithicpower.com/en/mp2456.html" TargetMode="External"/><Relationship Id="rId148" Type="http://schemas.openxmlformats.org/officeDocument/2006/relationships/hyperlink" Target="https://www.monolithicpower.com/en/design-tools/design-tools.html" TargetMode="External"/><Relationship Id="rId164" Type="http://schemas.openxmlformats.org/officeDocument/2006/relationships/hyperlink" Target="https://www.digikey.com/products/en/resistors/through-hole-resistors/53?FV=mu10+Ohms%7C2085%2Cffe00035%2C80008&amp;quantity=0&amp;ColumnSort=1000011&amp;page=1&amp;pageSize=25" TargetMode="External"/><Relationship Id="rId169" Type="http://schemas.openxmlformats.org/officeDocument/2006/relationships/hyperlink" Target="http://www.ti.com/lit/df/tidrzh7/tidrzh7.pdf" TargetMode="External"/><Relationship Id="rId185" Type="http://schemas.openxmlformats.org/officeDocument/2006/relationships/hyperlink" Target="https://www.digikey.com/product-detail/en/bourns-inc/MOV-10D330K/MOV-10D330K-ND/2407553" TargetMode="External"/><Relationship Id="rId334" Type="http://schemas.openxmlformats.org/officeDocument/2006/relationships/hyperlink" Target="https://www.infineon.com/cms/en/tools/" TargetMode="External"/><Relationship Id="rId350" Type="http://schemas.openxmlformats.org/officeDocument/2006/relationships/hyperlink" Target="http://www.ti.com/lit/df/tidrs79/tidrs79.pdf" TargetMode="External"/><Relationship Id="rId355" Type="http://schemas.openxmlformats.org/officeDocument/2006/relationships/hyperlink" Target="https://www.we-online.com/catalog/en/cm/pcd/mid_power_magnetics/mid_offline_flyback_transformers/" TargetMode="External"/><Relationship Id="rId4" Type="http://schemas.openxmlformats.org/officeDocument/2006/relationships/hyperlink" Target="http://telecom.hellodirect.com/docs/Tutorials/TelWiringBasics.1.040401.asp" TargetMode="External"/><Relationship Id="rId9" Type="http://schemas.openxmlformats.org/officeDocument/2006/relationships/hyperlink" Target="https://www.picwire.com/technical/tech-papers/wire-gauges/" TargetMode="External"/><Relationship Id="rId180" Type="http://schemas.openxmlformats.org/officeDocument/2006/relationships/hyperlink" Target="https://www.digikey.com/products/en/capacitors/ceramic-capacitors/60?k=capacitor&amp;k=&amp;pkeyword=capacitor&amp;sv=0&amp;pv14=32&amp;sf=0&amp;FV=11401c5%2C1f140000%2Cffe0003c&amp;quantity=&amp;ColumnSort=1000011&amp;page=1&amp;pageSize=25" TargetMode="External"/><Relationship Id="rId210" Type="http://schemas.openxmlformats.org/officeDocument/2006/relationships/hyperlink" Target="https://www.digikey.com/products/en/resistors/chip-resistor-surface-mount/52?k=resistor&amp;k=&amp;pkeyword=resistor&amp;sv=0&amp;pv7=1&amp;pv2=5&amp;pv2=7&amp;pv2=8&amp;sf=0&amp;FV=mu33+Ohms%7C2085%2Cffe00034%2C1429a8%2C142033%2C142035&amp;quantity=&amp;ColumnSort=0&amp;page=1&amp;pageSize=25" TargetMode="External"/><Relationship Id="rId215" Type="http://schemas.openxmlformats.org/officeDocument/2006/relationships/hyperlink" Target="https://www.mouser.com/ProductDetail/KEMET/C1808V223KDRACTU?qs=sGAEpiMZZMs0AnBnWHyRQOYRcarA5hN2QAs9bOxZFGU%3D" TargetMode="External"/><Relationship Id="rId236" Type="http://schemas.openxmlformats.org/officeDocument/2006/relationships/hyperlink" Target="https://www.mouser.com/Passive-Components/Capacitors/Safety-Capacitors/_/N-fb8xl?P=1yp7zip&amp;Ns=Pricing|0" TargetMode="External"/><Relationship Id="rId257" Type="http://schemas.openxmlformats.org/officeDocument/2006/relationships/hyperlink" Target="https://www.mouser.com/ProductDetail/KEMET/R46KI3100JEM1K?qs=sGAEpiMZZMu3dWSqd4Tl0Kd2v638%252BVqAv3mEVLxWCNs%3D" TargetMode="External"/><Relationship Id="rId278" Type="http://schemas.openxmlformats.org/officeDocument/2006/relationships/hyperlink" Target="http://www.ti.com/tool/TIDA-010060?jktype=design" TargetMode="External"/><Relationship Id="rId26" Type="http://schemas.openxmlformats.org/officeDocument/2006/relationships/hyperlink" Target="http://www.edn.com/design/led/4369641/LED-bulbs-reveal-different-design-approaches" TargetMode="External"/><Relationship Id="rId231" Type="http://schemas.openxmlformats.org/officeDocument/2006/relationships/hyperlink" Target="http://www.ti.com/lit/df/tidrzh6/tidrzh6.pdf" TargetMode="External"/><Relationship Id="rId252" Type="http://schemas.openxmlformats.org/officeDocument/2006/relationships/hyperlink" Target="https://www.digikey.com/products/en/circuit-protection/tvs-varistors-movs/141?FV=1c0001%2C1f140000%2Cmu60V%7C2152%2Cmu63V%7C2152%2Cmu65V%7C2152%2Cmu66V%7C2152%2Cffe0008d%2C40127e&amp;quantity=0&amp;ColumnSort=1000011&amp;page=1&amp;pageSize=25" TargetMode="External"/><Relationship Id="rId273" Type="http://schemas.openxmlformats.org/officeDocument/2006/relationships/hyperlink" Target="https://www.digikey.com/product-detail/en/taiyo-yuden/CBC3225T102KR/587-3214-2-ND/3195011" TargetMode="External"/><Relationship Id="rId294" Type="http://schemas.openxmlformats.org/officeDocument/2006/relationships/hyperlink" Target="https://www.digikey.com/product-detail/en/kemet/C1210C104KCRACTU/399-6747-2-ND/3084015" TargetMode="External"/><Relationship Id="rId308" Type="http://schemas.openxmlformats.org/officeDocument/2006/relationships/hyperlink" Target="https://www.digikey.com/products/en/capacitors/ceramic-capacitors/60?FV=380002%2Cmu1%C2%B5F%7C2049%2Cffe0003c%2C11401c5&amp;quantity=0&amp;ColumnSort=1000011&amp;page=1&amp;pageSize=25" TargetMode="External"/><Relationship Id="rId329" Type="http://schemas.openxmlformats.org/officeDocument/2006/relationships/hyperlink" Target="https://www.digikey.com/product-detail/en/samsung-electro-mechanics/CL31B106KOHNNNF/CL31B106KOHNNNF-ND/3894675" TargetMode="External"/><Relationship Id="rId47" Type="http://schemas.openxmlformats.org/officeDocument/2006/relationships/hyperlink" Target="https://www.infineon.com/dgdl/Infineon-xmc1300_AB-DS-v01_06-EN.pdf?fileId=5546d4624a0bf290014a4bdb073c25c6" TargetMode="External"/><Relationship Id="rId68" Type="http://schemas.openxmlformats.org/officeDocument/2006/relationships/hyperlink" Target="https://belfuse.com/resources/datasheets/powersolutions/ds-bps-linear-series.pdf" TargetMode="External"/><Relationship Id="rId89" Type="http://schemas.openxmlformats.org/officeDocument/2006/relationships/hyperlink" Target="https://www.diodeled.com/press-releases/diode-led-now-offers-first-fully-submersible-ul-listed-led-strip-light/" TargetMode="External"/><Relationship Id="rId112" Type="http://schemas.openxmlformats.org/officeDocument/2006/relationships/hyperlink" Target="http://www.ti.com/power-management/linear-regulators-ldo/products.html" TargetMode="External"/><Relationship Id="rId133" Type="http://schemas.openxmlformats.org/officeDocument/2006/relationships/hyperlink" Target="https://www.monolithicpower.com/pub/media/document/MP2459_r1.01.pdf" TargetMode="External"/><Relationship Id="rId154" Type="http://schemas.openxmlformats.org/officeDocument/2006/relationships/hyperlink" Target="https://www.digikey.com/product-detail/en/kemet/VP3225K401R150/399-13807-2-ND/6362885" TargetMode="External"/><Relationship Id="rId175" Type="http://schemas.openxmlformats.org/officeDocument/2006/relationships/hyperlink" Target="http://www.ti.com/lit/ds/symlink/tps54062.pdf" TargetMode="External"/><Relationship Id="rId340" Type="http://schemas.openxmlformats.org/officeDocument/2006/relationships/hyperlink" Target="https://www.digikey.com/product-detail/en/micro-commercial-co/FS1M-TP/1505-FS1M-TP-CHP/4765975" TargetMode="External"/><Relationship Id="rId361" Type="http://schemas.openxmlformats.org/officeDocument/2006/relationships/hyperlink" Target="http://www.ti.com/tool/UCC28742EVM-001?jktype=tools_software" TargetMode="External"/><Relationship Id="rId196" Type="http://schemas.openxmlformats.org/officeDocument/2006/relationships/hyperlink" Target="https://www.digikey.com/product-detail/en/bourns-inc/MOV-10D680K/MOV-10D680K-ND/2407557" TargetMode="External"/><Relationship Id="rId200" Type="http://schemas.openxmlformats.org/officeDocument/2006/relationships/hyperlink" Target="https://www.monolithicpower.com/en/products/dc-dc-power-conversion/switching-regulators/step-down-buck/converters/vin-max-48v.html" TargetMode="External"/><Relationship Id="rId16" Type="http://schemas.openxmlformats.org/officeDocument/2006/relationships/hyperlink" Target="https://en.wikipedia.org/wiki/AMX192" TargetMode="External"/><Relationship Id="rId221" Type="http://schemas.openxmlformats.org/officeDocument/2006/relationships/hyperlink" Target="https://en.wikipedia.org/wiki/Flicker_fusion_threshold" TargetMode="External"/><Relationship Id="rId242" Type="http://schemas.openxmlformats.org/officeDocument/2006/relationships/hyperlink" Target="https://www.monolithicpower.com/en/documentview/productdocument/index/doc_url/L0VWMTcxLVMtMDBBX3IxLjAucGRm/prod_id/MTI4Ng/" TargetMode="External"/><Relationship Id="rId263" Type="http://schemas.openxmlformats.org/officeDocument/2006/relationships/hyperlink" Target="http://www.ti.com/product/UCC28880" TargetMode="External"/><Relationship Id="rId284" Type="http://schemas.openxmlformats.org/officeDocument/2006/relationships/hyperlink" Target="https://www.st.com/en/power-management/viper01.html" TargetMode="External"/><Relationship Id="rId319" Type="http://schemas.openxmlformats.org/officeDocument/2006/relationships/hyperlink" Target="https://electronicscoach.com/pi-filter.html" TargetMode="External"/><Relationship Id="rId37" Type="http://schemas.openxmlformats.org/officeDocument/2006/relationships/hyperlink" Target="https://en.wikipedia.org/wiki/Smart_lighting" TargetMode="External"/><Relationship Id="rId58" Type="http://schemas.openxmlformats.org/officeDocument/2006/relationships/hyperlink" Target="https://www.digikey.com/products/en/integrated-circuits-ics/pmic-voltage-regulators-linear/699?k=voltage+regulator&amp;k=&amp;pkeyword=voltage+regulator&amp;sv=0&amp;pv7=1&amp;sf=0&amp;FV=1140003%2C8f40064%2C8f40010%2C8f400aa%2C8f40013%2C8f400db%2C8f40019%2C8f4001a%2C8f4001c%2C8f40034%2C8f40043%2C8f40044%2C8f40051%2C8f40053%2C1bcc0032%2Cffe002bb%2C204016f%2C204003a%2C204004b%2C204004d%2C204005a%2C204005f%2C2040063&amp;quantity=&amp;ColumnSort=1000011&amp;page=1&amp;stock=1&amp;pageSize=25" TargetMode="External"/><Relationship Id="rId79" Type="http://schemas.openxmlformats.org/officeDocument/2006/relationships/hyperlink" Target="https://cdn.samsung.com/led/file/resource/2019/02/2019_Q1_LinearUS_Leaflet_190131.pdf" TargetMode="External"/><Relationship Id="rId102" Type="http://schemas.openxmlformats.org/officeDocument/2006/relationships/hyperlink" Target="https://www.quora.com/What-ICs-can-I-use-to-convert-230V-AC-to-5V-DC-Do-I-get-a-part-that-combines-the-rectifier-with-a-regulator-into-a-single-component" TargetMode="External"/><Relationship Id="rId123" Type="http://schemas.openxmlformats.org/officeDocument/2006/relationships/hyperlink" Target="https://www.homemade-circuits.com/high-current-transformerless-power-2/" TargetMode="External"/><Relationship Id="rId144" Type="http://schemas.openxmlformats.org/officeDocument/2006/relationships/hyperlink" Target="https://www.monolithicpower.com/pub/media/document/MP2456_r1.01.pdf" TargetMode="External"/><Relationship Id="rId330" Type="http://schemas.openxmlformats.org/officeDocument/2006/relationships/hyperlink" Target="https://www.digikey.com/products/en/capacitors/ceramic-capacitors/60?FV=ffe0003c%2C380009%2C1f140000%2Cmu10%C2%B5F%7C2049&amp;quantity=0&amp;ColumnSort=1000011&amp;page=1&amp;pageSize=25" TargetMode="External"/><Relationship Id="rId90" Type="http://schemas.openxmlformats.org/officeDocument/2006/relationships/hyperlink" Target="https://people.eecs.berkeley.edu/~boser/courses/49/lectures/L16%20H-Bridge.pdf" TargetMode="External"/><Relationship Id="rId165" Type="http://schemas.openxmlformats.org/officeDocument/2006/relationships/hyperlink" Target="https://www.digikey.com/product-detail/en/yageo/FMP300FRF73-10R/FMP300FRF73-10R-ND/2169645" TargetMode="External"/><Relationship Id="rId186" Type="http://schemas.openxmlformats.org/officeDocument/2006/relationships/hyperlink" Target="https://www.infineon.com/cms/en/product/promopages/aim-mc/Selecting-a-linear-voltage-regulator/Voltage-Regulator-Input-Protection.html" TargetMode="External"/><Relationship Id="rId351" Type="http://schemas.openxmlformats.org/officeDocument/2006/relationships/hyperlink" Target="http://www.ti.com/tool/PMP20708" TargetMode="External"/><Relationship Id="rId211" Type="http://schemas.openxmlformats.org/officeDocument/2006/relationships/hyperlink" Target="https://www.digikey.com/product-detail/en/yageo/FKN1WSJR-52-33R/FKN1WSJR-52-33R-ND/9101379" TargetMode="External"/><Relationship Id="rId232" Type="http://schemas.openxmlformats.org/officeDocument/2006/relationships/hyperlink" Target="https://www.mouser.com/Passive-Components/Capacitors/Ceramic-Capacitors/_/N-5g8m?P=1yyirz7Z1yp7xv3Z1z0wqu1&amp;Ns=Pricing|0" TargetMode="External"/><Relationship Id="rId253" Type="http://schemas.openxmlformats.org/officeDocument/2006/relationships/hyperlink" Target="https://www.digikey.com/product-detail/en/bourns-inc/MOV-07D820KTR/MOV-07D820KTRTR-ND/2408218" TargetMode="External"/><Relationship Id="rId274" Type="http://schemas.openxmlformats.org/officeDocument/2006/relationships/hyperlink" Target="https://www.poweresim.com/" TargetMode="External"/><Relationship Id="rId295" Type="http://schemas.openxmlformats.org/officeDocument/2006/relationships/hyperlink" Target="https://www.digikey.com/product-detail/en/kemet/C1210C154KCRAC7800/399-13485-2-ND/6097305" TargetMode="External"/><Relationship Id="rId309" Type="http://schemas.openxmlformats.org/officeDocument/2006/relationships/hyperlink" Target="https://www.digikey.com/product-detail/en/samsung-electro-mechanics/CL32B105KCJNNWE/1276-3384-2-ND/3889042" TargetMode="External"/><Relationship Id="rId27" Type="http://schemas.openxmlformats.org/officeDocument/2006/relationships/hyperlink" Target="http://www.edn.com/design/led/4410231/Get-more-operating-life-from-LED-based-bulbs-" TargetMode="External"/><Relationship Id="rId48" Type="http://schemas.openxmlformats.org/officeDocument/2006/relationships/hyperlink" Target="https://www.engineersedge.com/calculators/torque_calc.htm" TargetMode="External"/><Relationship Id="rId69" Type="http://schemas.openxmlformats.org/officeDocument/2006/relationships/hyperlink" Target="https://www.pulspower.com/fileadmin/Dateien/pdf/qs20e241.pdf" TargetMode="External"/><Relationship Id="rId113" Type="http://schemas.openxmlformats.org/officeDocument/2006/relationships/hyperlink" Target="https://www.digikey.com/en/product-highlight/t/texas-instruments/webench-design-center" TargetMode="External"/><Relationship Id="rId134" Type="http://schemas.openxmlformats.org/officeDocument/2006/relationships/hyperlink" Target="https://www.digikey.com/product-detail/en/taiyo-yuden/LBR2518T100K/587-2052-2-ND/1788941" TargetMode="External"/><Relationship Id="rId320" Type="http://schemas.openxmlformats.org/officeDocument/2006/relationships/hyperlink" Target="http://www.ti.com/lit/an/snva538/snva538.pdf" TargetMode="External"/><Relationship Id="rId80" Type="http://schemas.openxmlformats.org/officeDocument/2006/relationships/hyperlink" Target="https://www.ecmweb.com/low-voltagecommunications/low-voltage-pathways-can-be-challenge" TargetMode="External"/><Relationship Id="rId155" Type="http://schemas.openxmlformats.org/officeDocument/2006/relationships/hyperlink" Target="https://www.digikey.com/en/product-highlight/t/texas-instruments/webench-design-center" TargetMode="External"/><Relationship Id="rId176" Type="http://schemas.openxmlformats.org/officeDocument/2006/relationships/hyperlink" Target="https://www.digikey.com/products/en/capacitors/ceramic-capacitors/60?FV=380002%2C403364%2C400fa3%2C401155%2C400007%2C400008%2C1f140000%2Cffe0003c%2Cmu1.5%C2%B5F%7C2049%2Cmu1%C2%B5F%7C2049%2Cmu10%C2%B5F%7C2049%2Cmu2.2%C2%B5F%7C2049%2Cmu3.3%C2%B5F%7C2049%2Cmu4.7%C2%B5F%7C2049&amp;quantity=0&amp;ColumnSort=1000011&amp;page=1&amp;k=capacitor&amp;pageSize=25&amp;pkeyword=capacitor" TargetMode="External"/><Relationship Id="rId197" Type="http://schemas.openxmlformats.org/officeDocument/2006/relationships/hyperlink" Target="http://www.ti.com/lit/ug/tidueq2/tidueq2.pdf" TargetMode="External"/><Relationship Id="rId341" Type="http://schemas.openxmlformats.org/officeDocument/2006/relationships/hyperlink" Target="http://www.smar.com/en/technical-article/inductive-coupling-and-how-to-minimize-their-effects-in-industrial-installations" TargetMode="External"/><Relationship Id="rId362" Type="http://schemas.openxmlformats.org/officeDocument/2006/relationships/hyperlink" Target="http://www.ti.com/reference-designs/index.html" TargetMode="External"/><Relationship Id="rId201" Type="http://schemas.openxmlformats.org/officeDocument/2006/relationships/hyperlink" Target="https://www.digikey.com/products/en/integrated-circuits-ics/pmic-voltage-regulators-dc-dc-switching-regulators/739?FV=ffe002e3%2C8f40069%2C8f40087%2C8f40088%2C8f400a4%2C8f40011%2C8f400b1%2C8f400e3%2C8f4012c%2C8f40021%2C8f40039&amp;quantity=0&amp;ColumnSort=1000011&amp;page=1&amp;pageSize=25" TargetMode="External"/><Relationship Id="rId222" Type="http://schemas.openxmlformats.org/officeDocument/2006/relationships/hyperlink" Target="https://www.superiorlighting.com/lighting-resources/light-bulb-learning-center/bulb-reference-guide/" TargetMode="External"/><Relationship Id="rId243" Type="http://schemas.openxmlformats.org/officeDocument/2006/relationships/hyperlink" Target="https://www.digikey.com/product-detail/en/vishay-bc-components/AC03000001009JACCS/PPC3W10ATB-ND/4093333" TargetMode="External"/><Relationship Id="rId264" Type="http://schemas.openxmlformats.org/officeDocument/2006/relationships/hyperlink" Target="http://www.ti.com/lit/ug/sluub56c/sluub56c.pdf" TargetMode="External"/><Relationship Id="rId285" Type="http://schemas.openxmlformats.org/officeDocument/2006/relationships/hyperlink" Target="https://my.st.com/content/ccc/resource/technical/document/data_brief/group2/7a/e0/32/14/10/3a/4d/e9/DM00618683/files/DM00618683.pdf/jcr:content/translations/en.DM00618683.pdf" TargetMode="External"/><Relationship Id="rId17" Type="http://schemas.openxmlformats.org/officeDocument/2006/relationships/hyperlink" Target="https://www.edn.com/design/test-and-measurement/4461470/4/R-D-initiative-looks-to-solve-energy-and-climate-problems" TargetMode="External"/><Relationship Id="rId38" Type="http://schemas.openxmlformats.org/officeDocument/2006/relationships/hyperlink" Target="https://datasheet4u.com/datasheet-pdf-file/1283323/JoulWatt/JW1780/1" TargetMode="External"/><Relationship Id="rId59" Type="http://schemas.openxmlformats.org/officeDocument/2006/relationships/hyperlink" Target="https://www.digikey.com/product-detail/en/diodes-incorporated/AP7384-33Y-13/AP7384-33Y-13DITR-ND/9765678" TargetMode="External"/><Relationship Id="rId103" Type="http://schemas.openxmlformats.org/officeDocument/2006/relationships/hyperlink" Target="https://www.microchip.com/wwwproducts/en/LR645" TargetMode="External"/><Relationship Id="rId124" Type="http://schemas.openxmlformats.org/officeDocument/2006/relationships/hyperlink" Target="http://ww1.microchip.com/downloads/en/DeviceDoc/20005544A.pdf" TargetMode="External"/><Relationship Id="rId310" Type="http://schemas.openxmlformats.org/officeDocument/2006/relationships/hyperlink" Target="https://www.digikey.com/product-detail/en/samsung-electro-mechanics/CL32B105KCJNNWE/1276-3384-2-ND/3889042" TargetMode="External"/><Relationship Id="rId70" Type="http://schemas.openxmlformats.org/officeDocument/2006/relationships/hyperlink" Target="https://digitalcommons.calpoly.edu/cgi/viewcontent.cgi?referer=https://www.google.com/&amp;httpsredir=1&amp;article=1424&amp;context=eesp" TargetMode="External"/><Relationship Id="rId91" Type="http://schemas.openxmlformats.org/officeDocument/2006/relationships/hyperlink" Target="https://q-tran.com/product-category/led-power-supplies/" TargetMode="External"/><Relationship Id="rId145" Type="http://schemas.openxmlformats.org/officeDocument/2006/relationships/hyperlink" Target="https://www.digikey.com/products/en/inductors-coils-chokes/fixed-inductors/71" TargetMode="External"/><Relationship Id="rId166" Type="http://schemas.openxmlformats.org/officeDocument/2006/relationships/hyperlink" Target="https://www.digikey.com/product-detail/en/yageo/FCR1WSJT-52-10R/FCR1WSJT-52-10R-ND/9099985" TargetMode="External"/><Relationship Id="rId187" Type="http://schemas.openxmlformats.org/officeDocument/2006/relationships/hyperlink" Target="https://www.digikey.com/products/en/discrete-semiconductor-products/diodes-rectifiers-single/280?k=&amp;pkeyword=&amp;sv=0&amp;pv16=492&amp;sf=1&amp;FV=1140003%2C180004b%2C1f140000%2Cmu200V%7C2071%2Cffe00118%2Ce48000e%2Ce4800bc&amp;quantity=&amp;ColumnSort=1000011&amp;page=1&amp;pageSize=25" TargetMode="External"/><Relationship Id="rId331" Type="http://schemas.openxmlformats.org/officeDocument/2006/relationships/hyperlink" Target="https://www.digikey.com/products/en/capacitors/ceramic-capacitors/60?k=&amp;pkeyword=&amp;sv=0&amp;pv14=20&amp;sf=0&amp;FV=1f140000%2Cmu10%C2%B5F%7C2049%2Cffe0003c&amp;quantity=&amp;ColumnSort=1000011&amp;page=1&amp;pageSize=25" TargetMode="External"/><Relationship Id="rId352" Type="http://schemas.openxmlformats.org/officeDocument/2006/relationships/hyperlink" Target="https://www.we-online.com/web/en/passive_components_custom_magnetics/products_pbcm/product_spotlight/microplc.php" TargetMode="External"/><Relationship Id="rId1" Type="http://schemas.openxmlformats.org/officeDocument/2006/relationships/hyperlink" Target="https://www.amazon.com/SouthWire-28828255-2WG-Wire-250-Feet/dp/B000W3KLKO/ref=sr_1_fkmr0_2?ie=UTF8&amp;qid=1540864590&amp;sr=8-2-fkmr0&amp;keywords=southwire+639476+250ft" TargetMode="External"/><Relationship Id="rId212" Type="http://schemas.openxmlformats.org/officeDocument/2006/relationships/hyperlink" Target="http://www.yageo.com/NewPortal/yageodocoutput?fileName=/pdf/throughhole/Yageo_LR_FKN_2013.pdf" TargetMode="External"/><Relationship Id="rId233" Type="http://schemas.openxmlformats.org/officeDocument/2006/relationships/hyperlink" Target="https://www.mouser.com/Passive-Components/Capacitors/Film-Capacitors/_/N-9x371?P=1z0wqu1Z1yo1n4c&amp;Ns=Pricing|0" TargetMode="External"/><Relationship Id="rId254" Type="http://schemas.openxmlformats.org/officeDocument/2006/relationships/hyperlink" Target="https://www.digikey.com/product-detail/en/bourns-inc/MOV-07D680KTR/MOV-07D680KTRTR-ND/2407582" TargetMode="External"/><Relationship Id="rId28" Type="http://schemas.openxmlformats.org/officeDocument/2006/relationships/hyperlink" Target="http://www.edn.com/electronics-blogs/led-insights/4423570/That-60W-equivalent-LED--What-you-don-t-know--and-what-no-one-will-tell-you-" TargetMode="External"/><Relationship Id="rId49" Type="http://schemas.openxmlformats.org/officeDocument/2006/relationships/hyperlink" Target="https://www.ledsupply.com/leds/cree-xlamp-xpe2-white-high-power-led?gclid=CjwKCAjwxrzoBRBBEiwAbtX1n7cUjbYIvX9Mya6BbS_eJl0FLirs9-3NWK9cN6mghSe9xcpbMoeXoxoCfk0QAvD_BwE" TargetMode="External"/><Relationship Id="rId114" Type="http://schemas.openxmlformats.org/officeDocument/2006/relationships/hyperlink" Target="https://www.diodes.com/assets/Datasheets/ZXTR2005Z.pdf" TargetMode="External"/><Relationship Id="rId275" Type="http://schemas.openxmlformats.org/officeDocument/2006/relationships/hyperlink" Target="http://www.ti.com/product/SN6501/technicaldocuments" TargetMode="External"/><Relationship Id="rId296" Type="http://schemas.openxmlformats.org/officeDocument/2006/relationships/hyperlink" Target="https://www.digikey.com/product-detail/en/samsung-electro-mechanics/CL21B104KACNFNC/1276-2442-2-ND/3888100" TargetMode="External"/><Relationship Id="rId300" Type="http://schemas.openxmlformats.org/officeDocument/2006/relationships/hyperlink" Target="https://www.st.com/en/power-management/viper01.html" TargetMode="External"/><Relationship Id="rId60" Type="http://schemas.openxmlformats.org/officeDocument/2006/relationships/hyperlink" Target="https://www.how-to-wire-it.com/wiring-a-2-way-switch.html" TargetMode="External"/><Relationship Id="rId81" Type="http://schemas.openxmlformats.org/officeDocument/2006/relationships/hyperlink" Target="https://www.ecmweb.com/code-basics/classifying-and-using-class-1-2-and-3-circuits" TargetMode="External"/><Relationship Id="rId135" Type="http://schemas.openxmlformats.org/officeDocument/2006/relationships/hyperlink" Target="https://www.digikey.com/product-detail/en/tdk-corporation/VLCF5020T-100MR87/445-3198-2-ND/1132624" TargetMode="External"/><Relationship Id="rId156" Type="http://schemas.openxmlformats.org/officeDocument/2006/relationships/hyperlink" Target="https://www.digikey.com/product-detail/en/littelfuse-inc/V14E320PL4B/V14E320PL4B-ND/3428186" TargetMode="External"/><Relationship Id="rId177" Type="http://schemas.openxmlformats.org/officeDocument/2006/relationships/hyperlink" Target="https://www.digikey.com/product-detail/en/taiyo-yuden/HMK325BJ475KM-PE/587-5034-2-ND/6563627" TargetMode="External"/><Relationship Id="rId198" Type="http://schemas.openxmlformats.org/officeDocument/2006/relationships/hyperlink" Target="https://www.digikey.com/product-detail/en/samsung-electro-mechanics/CL31X226KOHN3NE/1276-3300-2-ND/3888958" TargetMode="External"/><Relationship Id="rId321" Type="http://schemas.openxmlformats.org/officeDocument/2006/relationships/hyperlink" Target="https://www.st.com/en/power-management/viper11.html" TargetMode="External"/><Relationship Id="rId342" Type="http://schemas.openxmlformats.org/officeDocument/2006/relationships/hyperlink" Target="https://www.amazon.com/dp/0081010168/ref=cm_sw_em_r_mt_dp_U_nklODbHZJZJE5" TargetMode="External"/><Relationship Id="rId363" Type="http://schemas.openxmlformats.org/officeDocument/2006/relationships/hyperlink" Target="https://www.electronics-notes.com/articles/analogue_circuits/fet-field-effect-transistor/common-drain-source-follower-circuit.php" TargetMode="External"/><Relationship Id="rId202" Type="http://schemas.openxmlformats.org/officeDocument/2006/relationships/hyperlink" Target="https://www.digikey.com/product-detail/en/monolithic-power-systems-inc/MP4569GQ-Z/MP4569GQ-Z-ND/7361525" TargetMode="External"/><Relationship Id="rId223" Type="http://schemas.openxmlformats.org/officeDocument/2006/relationships/hyperlink" Target="https://en.wikipedia.org/wiki/Edison_screw" TargetMode="External"/><Relationship Id="rId244" Type="http://schemas.openxmlformats.org/officeDocument/2006/relationships/hyperlink" Target="https://www.digikey.com/products/en?keywords=7447462102" TargetMode="External"/><Relationship Id="rId18" Type="http://schemas.openxmlformats.org/officeDocument/2006/relationships/hyperlink" Target="https://en.wikipedia.org/wiki/KNX_(standard)" TargetMode="External"/><Relationship Id="rId39" Type="http://schemas.openxmlformats.org/officeDocument/2006/relationships/hyperlink" Target="https://commons.wikimedia.org/wiki/File:Ledbulbschematics.png" TargetMode="External"/><Relationship Id="rId265" Type="http://schemas.openxmlformats.org/officeDocument/2006/relationships/hyperlink" Target="http://www.ti.com/lit/ds/symlink/ucc28880.pdf" TargetMode="External"/><Relationship Id="rId286" Type="http://schemas.openxmlformats.org/officeDocument/2006/relationships/hyperlink" Target="https://my.st.com/analogsimulator/flex_app/bin/smps_app_acdc_design.html?msg=%7B%22data%22%3A%7B%22application%22%3A%22acdc%22%2C%22specs%22%3A%7B%22ic%22%3A%22viper011xs%3Abuck%22%2C%22input%22%3A%7B%22v%22%3A%7B%22min%22%3A85%2C%22max%22%3A265%7D%2C%22f%22%3A50%7D%2C%22output%22%3A%5B%7B%22v%22%3A5%2C%22r%22%3A2%2C%22i%22%3A0.016%7D%5D%7D%7D%2C%22action%22%3A%22new_design%22%7D" TargetMode="External"/><Relationship Id="rId50" Type="http://schemas.openxmlformats.org/officeDocument/2006/relationships/hyperlink" Target="https://www.ledsupply.com/content/pdf/leds-cree-xpe2_documentation.pdf" TargetMode="External"/><Relationship Id="rId104" Type="http://schemas.openxmlformats.org/officeDocument/2006/relationships/hyperlink" Target="https://www.youtube.com/watch?v=agfCknanLjY" TargetMode="External"/><Relationship Id="rId125" Type="http://schemas.openxmlformats.org/officeDocument/2006/relationships/hyperlink" Target="https://www.digikey.com/products/en/integrated-circuits-ics/pmic-ac-dc-converters-offline-switchers/748?k=&amp;pkeyword=&amp;sv=0&amp;pv1098=474&amp;sf=0&amp;FV=ffe002ec&amp;quantity=&amp;ColumnSort=0&amp;page=1&amp;pageSize=25" TargetMode="External"/><Relationship Id="rId146" Type="http://schemas.openxmlformats.org/officeDocument/2006/relationships/hyperlink" Target="https://www.digikey.com/product-detail/en/taiyo-yuden/NRS4018T470MDGJ/587-5935-2-ND/5215128" TargetMode="External"/><Relationship Id="rId167" Type="http://schemas.openxmlformats.org/officeDocument/2006/relationships/hyperlink" Target="https://www.digikey.com/products/en/resistors/through-hole-resistors/53?FV=mu10+Ohms%7C2085%2Cffe00035%2C80006&amp;quantity=0&amp;ColumnSort=1000011&amp;page=1&amp;pageSize=25" TargetMode="External"/><Relationship Id="rId188" Type="http://schemas.openxmlformats.org/officeDocument/2006/relationships/hyperlink" Target="https://www.digikey.com/product-detail/en/micro-commercial-co/FS1DE-TP/1505-FS1DE-TP-CHP/4765974" TargetMode="External"/><Relationship Id="rId311" Type="http://schemas.openxmlformats.org/officeDocument/2006/relationships/hyperlink" Target="https://www.digikey.com/products/en/discrete-semiconductor-products/diodes-rectifiers-single/280?FV=mu1200V%7C2071%2Cmu1250V%7C2071%2Cmu1300V%7C2071%2Cmu1400V%7C2071%2Cmu1500V%7C2071%2Cffe00118%2C23c00eb&amp;quantity=0&amp;ColumnSort=1000011&amp;page=1&amp;k=diode&amp;pageSize=25&amp;pkeyword=diode" TargetMode="External"/><Relationship Id="rId332" Type="http://schemas.openxmlformats.org/officeDocument/2006/relationships/hyperlink" Target="https://www.digikey.com/product-detail/en/samsung-electro-mechanics/CL31B106KAHNNNE/1276-1804-2-ND/3887462" TargetMode="External"/><Relationship Id="rId353" Type="http://schemas.openxmlformats.org/officeDocument/2006/relationships/hyperlink" Target="https://www.we-online.com/catalog/en/MID-OLTI/?sq=750316908&amp;sp=https%3A%2F%2Fwww.we-online.com%2Fweb%2Fen%2Fpassive_components_custom_magnetics%2Fsearchpage_PBCM.php%3Fsearch%3D750316908" TargetMode="External"/><Relationship Id="rId71" Type="http://schemas.openxmlformats.org/officeDocument/2006/relationships/hyperlink" Target="https://ieeexplore.ieee.org/stamp/stamp.jsp?arnumber=6970278" TargetMode="External"/><Relationship Id="rId92" Type="http://schemas.openxmlformats.org/officeDocument/2006/relationships/hyperlink" Target="https://www.infineon.com/dgdl/Infineon-AP201609_Driving_LEDs_with_XMC1000-AN-v01_00-EN.pdf?fileId=5546d462580663ef01581a09fde446bd" TargetMode="External"/><Relationship Id="rId213" Type="http://schemas.openxmlformats.org/officeDocument/2006/relationships/hyperlink" Target="https://www.mouser.com/Passive-Components/Capacitors/Ceramic-Capacitors/_/N-5g8m?P=1yyirz7Z1yp7xv3Z1yzmotm&amp;Ns=Pricing|0" TargetMode="External"/><Relationship Id="rId234" Type="http://schemas.openxmlformats.org/officeDocument/2006/relationships/hyperlink" Target="https://www.mouser.com/Passive-Components/Capacitors/Safety-Capacitors/_/N-fb8xl?P=1z0wqu1Z1yp7ck6Z1y9p90lZ1yp0uc3Z1yndmrvZ1yo18huZ1yo19lyZ1yo1n4cZ1ywtaisZ1yrlnvcZ1yo18ezZ1yp7zipZ1yo19lnZ1ykkiycZ1yo19l7Z1yp7xv3&amp;Ns=Pricing%7c0" TargetMode="External"/><Relationship Id="rId2" Type="http://schemas.openxmlformats.org/officeDocument/2006/relationships/hyperlink" Target="http://www.nehringwire.com/solid-wire-gauge-table/" TargetMode="External"/><Relationship Id="rId29" Type="http://schemas.openxmlformats.org/officeDocument/2006/relationships/hyperlink" Target="http://www.edn.com/electronics-blogs/brians-brain/4441540/The-LED--incandescent-light-bulb-heir-apparent" TargetMode="External"/><Relationship Id="rId255" Type="http://schemas.openxmlformats.org/officeDocument/2006/relationships/hyperlink" Target="http://www.ti.com/lit/ds/symlink/ucc28880.pdf" TargetMode="External"/><Relationship Id="rId276" Type="http://schemas.openxmlformats.org/officeDocument/2006/relationships/hyperlink" Target="https://www.allaboutcircuits.com/textbook/alternating-current/chpt-10/single-phase-power-systems/" TargetMode="External"/><Relationship Id="rId297" Type="http://schemas.openxmlformats.org/officeDocument/2006/relationships/hyperlink" Target="https://www.digikey.com/products/en/capacitors/ceramic-capacitors/60?FV=1c0001%2C380020%2C1f140000%2Cmu0.1%C2%B5F%7C2049%2Cffe0003c%2C11401c5&amp;quantity=0&amp;ColumnSort=1000011&amp;page=1&amp;pageSize=25" TargetMode="External"/><Relationship Id="rId40" Type="http://schemas.openxmlformats.org/officeDocument/2006/relationships/hyperlink" Target="https://led-driver.power.com/design-support/reference-designs/design-examples/?title_selective=LYTSwitch-3&amp;field_topology_target_id_selective=All" TargetMode="External"/><Relationship Id="rId115" Type="http://schemas.openxmlformats.org/officeDocument/2006/relationships/hyperlink" Target="https://www.ablic.com/en/doc/datasheet/automotive_voltage_regulator/S1142A_BxxH_E.pdf" TargetMode="External"/><Relationship Id="rId136" Type="http://schemas.openxmlformats.org/officeDocument/2006/relationships/hyperlink" Target="https://www.digikey.com/products/en/inductors-coils-chokes/fixed-inductors/71?FV=4e804d7%2C4e804f7%2C4e80507%2C4e8070c%2C4e80748%2C4e8076d%2C4e80844%2C4e80845%2C4e80877%2C4e800e0%2C4e800e2%2C4e800e6%2C4e800e8%2C4e8091c%2C4e800ea%2C4e800ed%2C4e800ee%2C4e800ef%2C4e800f0%2C4e800f1%2C4e800f2%2C4e80976%2C4e8098b%2C4e80abd%2C4e80aeb%2C4e80b8c%2C4e80c45%2C4e80cab%2C4e80cb0%2C4e80cdc%2C4e80d5f%2C4e80d85%2C4e80dd1%2C4e80edf%2C4e80028%2C4e80029%2C4e81087%2C4e810cd%2C4e8113d%2C4e8115f%2C4e814dc%2C4e8173f%2C4e818f6%2C4e81a7c%2C4e81afc%2Cmu10%C2%B5H%7C2087%2Cffe00047%2Cmu235mA%7C2088%2Cmu300mA%7C2088%2Cmu450mA%7C2088&amp;quantity=0&amp;ColumnSort=1000011&amp;page=1&amp;pageSize=25" TargetMode="External"/><Relationship Id="rId157" Type="http://schemas.openxmlformats.org/officeDocument/2006/relationships/hyperlink" Target="https://www.digikey.com/product-detail/en/panasonic-electronic-components/ERZ-E10A511CS/ERZ-E10A511CS-ND/4569617" TargetMode="External"/><Relationship Id="rId178" Type="http://schemas.openxmlformats.org/officeDocument/2006/relationships/hyperlink" Target="https://www.digikey.com/product-detail/en/taiyo-yuden/HMK316AC7225KL-TE/587-5026-2-ND/6563619" TargetMode="External"/><Relationship Id="rId301" Type="http://schemas.openxmlformats.org/officeDocument/2006/relationships/hyperlink" Target="https://my.st.com/content/ccc/resource/technical/document/data_brief/group2/7a/e0/32/14/10/3a/4d/e9/DM00618683/files/DM00618683.pdf/jcr:content/translations/en.DM00618683.pdf" TargetMode="External"/><Relationship Id="rId322" Type="http://schemas.openxmlformats.org/officeDocument/2006/relationships/hyperlink" Target="https://www.digikey.com/product-detail/en/panasonic-electronic-components/ERZ-E11F471/ERZ-E11F471-ND/4209690" TargetMode="External"/><Relationship Id="rId343" Type="http://schemas.openxmlformats.org/officeDocument/2006/relationships/hyperlink" Target="http://www.ti.com/tool/TIDA-00237" TargetMode="External"/><Relationship Id="rId364" Type="http://schemas.openxmlformats.org/officeDocument/2006/relationships/printerSettings" Target="../printerSettings/printerSettings3.bin"/><Relationship Id="rId61" Type="http://schemas.openxmlformats.org/officeDocument/2006/relationships/hyperlink" Target="http://www.bridgelux.com/sites/default/files/resource_media/DS62_Rev%20B%20SMD%205050%203W%2018V%20Data%20sheet.pdf" TargetMode="External"/><Relationship Id="rId82" Type="http://schemas.openxmlformats.org/officeDocument/2006/relationships/hyperlink" Target="https://www.ecmweb.com/content/understanding-nec-circuit-classifications" TargetMode="External"/><Relationship Id="rId199" Type="http://schemas.openxmlformats.org/officeDocument/2006/relationships/hyperlink" Target="https://www.monolithicpower.com/en/products/dc-dc-power-conversion/ldo-voltage-supervisory/ldo/single-channel.html" TargetMode="External"/><Relationship Id="rId203" Type="http://schemas.openxmlformats.org/officeDocument/2006/relationships/hyperlink" Target="https://www.monolithicpower.com/pub/media/document/MP4569_r1.0.pdf" TargetMode="External"/><Relationship Id="rId19" Type="http://schemas.openxmlformats.org/officeDocument/2006/relationships/hyperlink" Target="https://www.edn.com/5G/4461282/Teardown--Zigbee-controlled-LED-light-bulb" TargetMode="External"/><Relationship Id="rId224" Type="http://schemas.openxmlformats.org/officeDocument/2006/relationships/hyperlink" Target="https://www.researchgate.net/figure/Conventional-floating-buck-LED-Driver-with-pulse-width-modulation-PWM-dimming_fig7_306009195" TargetMode="External"/><Relationship Id="rId245" Type="http://schemas.openxmlformats.org/officeDocument/2006/relationships/hyperlink" Target="https://www.digikey.com/product-detail/en/diodes-incorporated/S1J-13-F/S1J-FDITR-ND/725027" TargetMode="External"/><Relationship Id="rId266" Type="http://schemas.openxmlformats.org/officeDocument/2006/relationships/hyperlink" Target="http://www.ti.com/product/UCC28880" TargetMode="External"/><Relationship Id="rId287" Type="http://schemas.openxmlformats.org/officeDocument/2006/relationships/hyperlink" Target="https://www.digikey.com/products/en/capacitors/ceramic-capacitors/60?FV=ffe0003c%2C380004%2C400007%2C400008%2Cmu47%C2%B5F%7C2049&amp;quantity=0&amp;ColumnSort=1000011&amp;page=1&amp;pageSize=25" TargetMode="External"/><Relationship Id="rId30" Type="http://schemas.openxmlformats.org/officeDocument/2006/relationships/hyperlink" Target="http://www.edn.com/electronics-blogs/led-zone/4441442/How-long-do-LEDs-really-last-" TargetMode="External"/><Relationship Id="rId105" Type="http://schemas.openxmlformats.org/officeDocument/2006/relationships/hyperlink" Target="https://www.digikey.com/reference-designs/en/ac-dc-and-dc-dc-conversion/ac-dc-smps-single-output" TargetMode="External"/><Relationship Id="rId126" Type="http://schemas.openxmlformats.org/officeDocument/2006/relationships/hyperlink" Target="https://www.microchip.com/wwwproducts/en/SR087" TargetMode="External"/><Relationship Id="rId147" Type="http://schemas.openxmlformats.org/officeDocument/2006/relationships/hyperlink" Target="https://www.monolithicpower.com/en/design-tools/design-tools/dc-dc-designer-online.html?PN=MP2459" TargetMode="External"/><Relationship Id="rId168" Type="http://schemas.openxmlformats.org/officeDocument/2006/relationships/hyperlink" Target="https://www.analog.com/en/products/lt3014b.html" TargetMode="External"/><Relationship Id="rId312" Type="http://schemas.openxmlformats.org/officeDocument/2006/relationships/hyperlink" Target="https://www.digikey.com/product-detail/en/micro-commercial-co/US2Q-TP/US2Q-TPMSTR-ND/10054731" TargetMode="External"/><Relationship Id="rId333" Type="http://schemas.openxmlformats.org/officeDocument/2006/relationships/hyperlink" Target="https://www.mouser.com/ProductDetail/KEMET/R49AN32205001K?qs=sGAEpiMZZMu3dWSqd4Tl0BOe%2F1hjKbRFLactZX1Wc%252B8%3D" TargetMode="External"/><Relationship Id="rId354" Type="http://schemas.openxmlformats.org/officeDocument/2006/relationships/hyperlink" Target="https://www.we-online.com/catalog/en/MID-OLTI/?sq=750316908&amp;sp=https%3A%2F%2Fwww.we-online.com%2Fweb%2Fen%2Fpassive_components_custom_magnetics%2Fsearchpage_PBCM.php%3Fsearch%3D750316908" TargetMode="External"/><Relationship Id="rId51" Type="http://schemas.openxmlformats.org/officeDocument/2006/relationships/hyperlink" Target="https://en.wikipedia.org/wiki/List_of_LED_failure_modes" TargetMode="External"/><Relationship Id="rId72" Type="http://schemas.openxmlformats.org/officeDocument/2006/relationships/hyperlink" Target="https://digitalcommons.calpoly.edu/cgi/viewcontent.cgi?referer=https://www.google.com/&amp;httpsredir=1&amp;article=1402&amp;context=eesp" TargetMode="External"/><Relationship Id="rId93" Type="http://schemas.openxmlformats.org/officeDocument/2006/relationships/hyperlink" Target="http://www.assmann-wsw.com/fileadmin/datasheets/ASS_7306_CA.pdf" TargetMode="External"/><Relationship Id="rId189" Type="http://schemas.openxmlformats.org/officeDocument/2006/relationships/hyperlink" Target="https://www.digikey.com/products/en/resistors/chip-resistor-surface-mount/52?k=resistor&amp;k=&amp;pkeyword=resistor&amp;sv=0&amp;pv1291=1037&amp;sf=1&amp;FV=c0001%2C1c0001%2C2b80016%2C1f140000%2Cmu10+Ohms%7C2085%2Cffe00034%2C400005%2C400006%2C400007%2C400008%2C402382&amp;quantity=&amp;ColumnSort=0&amp;page=1&amp;pageSize=25" TargetMode="External"/><Relationship Id="rId3" Type="http://schemas.openxmlformats.org/officeDocument/2006/relationships/hyperlink" Target="http://www.nehringwire.com/copper/solid-bare-tinned-copper/" TargetMode="External"/><Relationship Id="rId214" Type="http://schemas.openxmlformats.org/officeDocument/2006/relationships/hyperlink" Target="https://www.mouser.com/ProductDetail/Murata-Electronics/GRM55DR73A224KW94L?qs=sGAEpiMZZMs0AnBnWHyRQCZFsEygxoaDbConn%2Fi8q%252B8wfg256UreuQ%3D%3D" TargetMode="External"/><Relationship Id="rId235" Type="http://schemas.openxmlformats.org/officeDocument/2006/relationships/hyperlink" Target="https://www.mouser.com/ProductDetail/EPCOS-TDK/B32922C3224M000?qs=sGAEpiMZZMu3dWSqd4Tl0AinJxIOKJgEQBvhEXh9kG4%3D" TargetMode="External"/><Relationship Id="rId256" Type="http://schemas.openxmlformats.org/officeDocument/2006/relationships/hyperlink" Target="https://www.mouser.com/Passive-Components/Capacitors/Safety-Capacitors/_/N-fb8xl?P=1yp7ck6Z1z0wqus&amp;Ns=Pricing|0" TargetMode="External"/><Relationship Id="rId277" Type="http://schemas.openxmlformats.org/officeDocument/2006/relationships/hyperlink" Target="https://www.allaboutcircuits.com/textbook/alternating-current/" TargetMode="External"/><Relationship Id="rId298" Type="http://schemas.openxmlformats.org/officeDocument/2006/relationships/hyperlink" Target="https://www.digikey.com/product-detail/en/samsung-electro-mechanics/CL21B104KBCNNND/CL21B104KBCNNND-ND/3894459" TargetMode="External"/><Relationship Id="rId116" Type="http://schemas.openxmlformats.org/officeDocument/2006/relationships/hyperlink" Target="https://webench.ti.com/power-designer/switching-regulator/select?O1I=0.01&amp;O1V=3.3&amp;VinMax=60&amp;VinMin=14&amp;fromdisty=digikey&amp;lang_chosen=en_US&amp;op_TA=30&amp;refpage=https:%2F%2Fwww.digikey.com%2Fen%2Fproduct-highlight%2Ft%2Ftexas-instruments%2Fwebench-design-center" TargetMode="External"/><Relationship Id="rId137" Type="http://schemas.openxmlformats.org/officeDocument/2006/relationships/hyperlink" Target="https://www.monolithicpower.com/en/mp2459.html" TargetMode="External"/><Relationship Id="rId158" Type="http://schemas.openxmlformats.org/officeDocument/2006/relationships/hyperlink" Target="https://www.digikey.com/product-detail/en/kemet/VP3225K401R300/399-17697-2-ND/6559132" TargetMode="External"/><Relationship Id="rId302" Type="http://schemas.openxmlformats.org/officeDocument/2006/relationships/hyperlink" Target="https://www.digikey.com/product-detail/en/bourns-inc/MOV-07D471KTR/MOV-07D471KTRTR-ND/2407594" TargetMode="External"/><Relationship Id="rId323" Type="http://schemas.openxmlformats.org/officeDocument/2006/relationships/hyperlink" Target="https://www.digikey.com/products/en/capacitors/ceramic-capacitors/60?FV=1c0001%2C380014%2C1f140000%2Cmu22%C2%B5F%7C2049%2Cffe0003c%2C11401c5&amp;quantity=0&amp;ColumnSort=1000011&amp;page=1&amp;pageSize=25" TargetMode="External"/><Relationship Id="rId344" Type="http://schemas.openxmlformats.org/officeDocument/2006/relationships/hyperlink" Target="http://www.ti.com/lit/df/tidrei9/tidrei9.pdf" TargetMode="External"/><Relationship Id="rId20" Type="http://schemas.openxmlformats.org/officeDocument/2006/relationships/hyperlink" Target="https://www.edn.com/design/led/4442724/Teardown--What-killed-this-LED-bulb-" TargetMode="External"/><Relationship Id="rId41" Type="http://schemas.openxmlformats.org/officeDocument/2006/relationships/hyperlink" Target="https://makingcircuits.com/blog/1w-4w-6w-10w-12w-led-driver-circuit-smps/" TargetMode="External"/><Relationship Id="rId62" Type="http://schemas.openxmlformats.org/officeDocument/2006/relationships/hyperlink" Target="https://www.digikey.com/product-detail/en/tdk-lambda-americas-inc/DRL100-24-1/285-2649-ND/6561048" TargetMode="External"/><Relationship Id="rId83" Type="http://schemas.openxmlformats.org/officeDocument/2006/relationships/hyperlink" Target="https://www.ecmweb.com/content/code-rules-low-voltage-lighting" TargetMode="External"/><Relationship Id="rId179" Type="http://schemas.openxmlformats.org/officeDocument/2006/relationships/hyperlink" Target="https://www.digikey.com/product-detail/en/avx-corporation/12101C335K4T2A/478-12146-2-ND/9374707" TargetMode="External"/><Relationship Id="rId365" Type="http://schemas.openxmlformats.org/officeDocument/2006/relationships/drawing" Target="../drawings/drawing3.xml"/><Relationship Id="rId190" Type="http://schemas.openxmlformats.org/officeDocument/2006/relationships/hyperlink" Target="https://www.digikey.com/product-detail/en/koa-speer-electronics-inc/RK73H2ATTD10R0F/2019-RK73H2ATTD10R0FTR-ND/10234071" TargetMode="External"/><Relationship Id="rId204" Type="http://schemas.openxmlformats.org/officeDocument/2006/relationships/hyperlink" Target="https://www.diodes.com/assets/Datasheets/AP7384.pdf" TargetMode="External"/><Relationship Id="rId225" Type="http://schemas.openxmlformats.org/officeDocument/2006/relationships/hyperlink" Target="https://ieeexplore.ieee.org/document/7827094" TargetMode="External"/><Relationship Id="rId246" Type="http://schemas.openxmlformats.org/officeDocument/2006/relationships/hyperlink" Target="https://www.digikey.com/product-detail/en/taiwan-semiconductor-corporation/RSFKL-RVG/RSFKLRVGTR-ND/7358214" TargetMode="External"/><Relationship Id="rId267" Type="http://schemas.openxmlformats.org/officeDocument/2006/relationships/hyperlink" Target="http://www.ti.com/lit/ug/sluub56c/sluub56c.pdf" TargetMode="External"/><Relationship Id="rId288" Type="http://schemas.openxmlformats.org/officeDocument/2006/relationships/hyperlink" Target="https://www.digikey.com/products/en/capacitors/ceramic-capacitors/60?k=&amp;pkeyword=&amp;sv=0&amp;pv16=6&amp;sf=1&amp;FV=380014%2Cmu0.33%C2%B5F%7C2049%2Cffe0003c&amp;quantity=&amp;ColumnSort=1000011&amp;page=1&amp;pageSize=25"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inase.org/library/2014/santorini/bypaper/SYSTEMS/SYSTEMS2-20.pdf" TargetMode="External"/><Relationship Id="rId18" Type="http://schemas.openxmlformats.org/officeDocument/2006/relationships/hyperlink" Target="https://igshpa.org/" TargetMode="External"/><Relationship Id="rId26" Type="http://schemas.openxmlformats.org/officeDocument/2006/relationships/hyperlink" Target="http://www.focalflux.com/products.html" TargetMode="External"/><Relationship Id="rId39" Type="http://schemas.openxmlformats.org/officeDocument/2006/relationships/hyperlink" Target="https://www.edn.com/electronics-blogs/dev-monkey-blog/4409084/How-do-you-measure-humidity-" TargetMode="External"/><Relationship Id="rId21" Type="http://schemas.openxmlformats.org/officeDocument/2006/relationships/hyperlink" Target="https://igshpa.org/research-papers/" TargetMode="External"/><Relationship Id="rId34" Type="http://schemas.openxmlformats.org/officeDocument/2006/relationships/hyperlink" Target="https://coast.noaa.gov/data/digitalcoast/pdf/slr-slc-tech.pdf" TargetMode="External"/><Relationship Id="rId42" Type="http://schemas.openxmlformats.org/officeDocument/2006/relationships/hyperlink" Target="https://nca2014.globalchange.gov/report/our-changing-climate/sea-level-rise" TargetMode="External"/><Relationship Id="rId47" Type="http://schemas.openxmlformats.org/officeDocument/2006/relationships/hyperlink" Target="https://vipa-international.org/vacuum-insulation-panels" TargetMode="External"/><Relationship Id="rId50" Type="http://schemas.openxmlformats.org/officeDocument/2006/relationships/hyperlink" Target="https://cordis.europa.eu/project/rcn/208638/factsheet/en" TargetMode="External"/><Relationship Id="rId55" Type="http://schemas.openxmlformats.org/officeDocument/2006/relationships/hyperlink" Target="http://www.vip-bau.de/e_pages/technology/vip/howtheywork.htm" TargetMode="External"/><Relationship Id="rId63" Type="http://schemas.openxmlformats.org/officeDocument/2006/relationships/printerSettings" Target="../printerSettings/printerSettings4.bin"/><Relationship Id="rId7" Type="http://schemas.openxmlformats.org/officeDocument/2006/relationships/hyperlink" Target="http://energy.mit.edu/wp-content/uploads/2006/11/MITEI-The-Future-of-Geothermal-Energy.pdf" TargetMode="External"/><Relationship Id="rId2" Type="http://schemas.openxmlformats.org/officeDocument/2006/relationships/hyperlink" Target="https://www.californiageo.org/geo-heat-pump-applications/shallow-earth-temperatures-arent-sexy-but/" TargetMode="External"/><Relationship Id="rId16" Type="http://schemas.openxmlformats.org/officeDocument/2006/relationships/hyperlink" Target="http://dma-eng.com/wp-content/uploads/2017/04/Ground_Source_Heat_Pumps_Presentation_Rev1_8-4-09.pdf" TargetMode="External"/><Relationship Id="rId20" Type="http://schemas.openxmlformats.org/officeDocument/2006/relationships/hyperlink" Target="https://brage.bibsys.no/xmlui/handle/11250/2496158" TargetMode="External"/><Relationship Id="rId29" Type="http://schemas.openxmlformats.org/officeDocument/2006/relationships/hyperlink" Target="https://www.dropbox.com/s/ro7uixlwp7dt1ld/Report_Rev_08.pdf" TargetMode="External"/><Relationship Id="rId41" Type="http://schemas.openxmlformats.org/officeDocument/2006/relationships/hyperlink" Target="https://tidesandcurrents.noaa.gov/publications/techrpt83_Global_and_Regional_SLR_Scenarios_for_the_US_final.pdf" TargetMode="External"/><Relationship Id="rId54" Type="http://schemas.openxmlformats.org/officeDocument/2006/relationships/hyperlink" Target="https://www.sciencedirect.com/science/article/pii/S0264127516308243" TargetMode="External"/><Relationship Id="rId62" Type="http://schemas.openxmlformats.org/officeDocument/2006/relationships/hyperlink" Target="https://creativecommons.org/share-your-work/" TargetMode="External"/><Relationship Id="rId1" Type="http://schemas.openxmlformats.org/officeDocument/2006/relationships/hyperlink" Target="https://www.energy.gov/eere/videos/energy-101-geothermal-heat-pumps" TargetMode="External"/><Relationship Id="rId6" Type="http://schemas.openxmlformats.org/officeDocument/2006/relationships/hyperlink" Target="https://www.worldenergy.org/publications/2013/world-energy-resources-2013-survey/" TargetMode="External"/><Relationship Id="rId11" Type="http://schemas.openxmlformats.org/officeDocument/2006/relationships/hyperlink" Target="https://www.greenbuildingadvisor.com/article/does-vacuum-insulation-make-sense" TargetMode="External"/><Relationship Id="rId24" Type="http://schemas.openxmlformats.org/officeDocument/2006/relationships/hyperlink" Target="http://www.topsflo.com/" TargetMode="External"/><Relationship Id="rId32" Type="http://schemas.openxmlformats.org/officeDocument/2006/relationships/hyperlink" Target="https://en.wikipedia.org/wiki/List_of_U.S._states_and_territories_by_carbon_dioxide_emissions" TargetMode="External"/><Relationship Id="rId37" Type="http://schemas.openxmlformats.org/officeDocument/2006/relationships/hyperlink" Target="https://www.sciencedirect.com/topics/earth-and-planetary-sciences/satellite-altimetry" TargetMode="External"/><Relationship Id="rId40" Type="http://schemas.openxmlformats.org/officeDocument/2006/relationships/hyperlink" Target="https://coast.noaa.gov/data/digitalcoast/pdf/slr-faq.pdf" TargetMode="External"/><Relationship Id="rId45" Type="http://schemas.openxmlformats.org/officeDocument/2006/relationships/hyperlink" Target="https://www.researchgate.net/publication/318326483_Alternative_low_cost_based_core_systems_for_vacuum_insulation_panels" TargetMode="External"/><Relationship Id="rId53" Type="http://schemas.openxmlformats.org/officeDocument/2006/relationships/hyperlink" Target="https://www.greenbuildingadvisor.com/article/vacuum-insulated-windows" TargetMode="External"/><Relationship Id="rId58" Type="http://schemas.openxmlformats.org/officeDocument/2006/relationships/hyperlink" Target="https://digitalcommons.wpi.edu/mqp-electricalcomputerengineering/" TargetMode="External"/><Relationship Id="rId5" Type="http://schemas.openxmlformats.org/officeDocument/2006/relationships/hyperlink" Target="https://www.mining-technology.com/features/feature-the-worlds-biggest-coal-reserves-by-country/" TargetMode="External"/><Relationship Id="rId15" Type="http://schemas.openxmlformats.org/officeDocument/2006/relationships/hyperlink" Target="https://en.wikipedia.org/wiki/Geothermal_heat_pump" TargetMode="External"/><Relationship Id="rId23" Type="http://schemas.openxmlformats.org/officeDocument/2006/relationships/hyperlink" Target="https://www.takasago-fluidics.com/products/products_pump/transfer/" TargetMode="External"/><Relationship Id="rId28" Type="http://schemas.openxmlformats.org/officeDocument/2006/relationships/hyperlink" Target="https://www.youtube.com/watch?v=rlVHXJ6BCF4" TargetMode="External"/><Relationship Id="rId36" Type="http://schemas.openxmlformats.org/officeDocument/2006/relationships/hyperlink" Target="https://www.ngs.noaa.gov/INFO/OnePagers/NSRSOnePager.pdf" TargetMode="External"/><Relationship Id="rId49" Type="http://schemas.openxmlformats.org/officeDocument/2006/relationships/hyperlink" Target="https://www.va-q-tec.com/en/technology/vacuum-insulation-panels/" TargetMode="External"/><Relationship Id="rId57" Type="http://schemas.openxmlformats.org/officeDocument/2006/relationships/hyperlink" Target="https://www.wpi.edu/academics/undergraduate/major-qualifying-project/project-search" TargetMode="External"/><Relationship Id="rId61" Type="http://schemas.openxmlformats.org/officeDocument/2006/relationships/hyperlink" Target="http://www.bostonplans.org/getattachment/d1114318-1b95-487c-bc36-682f8594e8b2?utm_source=FINAL+Urban+Sustainability+Bulletin+%28OCT+2019%29&amp;utm_campaign=Oct+2019+USB&amp;utm_medium=email" TargetMode="External"/><Relationship Id="rId10" Type="http://schemas.openxmlformats.org/officeDocument/2006/relationships/hyperlink" Target="https://www.the-ambient.com/guides/best-smart-home-hubs-360" TargetMode="External"/><Relationship Id="rId19" Type="http://schemas.openxmlformats.org/officeDocument/2006/relationships/hyperlink" Target="https://www.sintef.no/globalassets/sintef-energi/interact/tr-a7570-software-for-modelling-and-simulation-of-ground-source-heating-and-cooling-systems-2016.pdf" TargetMode="External"/><Relationship Id="rId31" Type="http://schemas.openxmlformats.org/officeDocument/2006/relationships/hyperlink" Target="https://en.wikipedia.org/wiki/List_of_countries_by_carbon_dioxide_emissions" TargetMode="External"/><Relationship Id="rId44" Type="http://schemas.openxmlformats.org/officeDocument/2006/relationships/hyperlink" Target="http://www.abcmetalroofing.com/Products/Panel-Profiles/Imperial-Rib-/" TargetMode="External"/><Relationship Id="rId52" Type="http://schemas.openxmlformats.org/officeDocument/2006/relationships/hyperlink" Target="https://www.buildinggreen.com/blog/r-10-vacuum-insulated-glazing" TargetMode="External"/><Relationship Id="rId60" Type="http://schemas.openxmlformats.org/officeDocument/2006/relationships/hyperlink" Target="https://www.wpi.edu/academics/undergraduate/interactive-qualifying-project" TargetMode="External"/><Relationship Id="rId4" Type="http://schemas.openxmlformats.org/officeDocument/2006/relationships/hyperlink" Target="http://www.geothermalcommunities.eu/assets/elearning/6.22.Shallow%20Geothermal%20SYstems.pdf" TargetMode="External"/><Relationship Id="rId9" Type="http://schemas.openxmlformats.org/officeDocument/2006/relationships/hyperlink" Target="https://plasticpipe.org/pdf/chapter12.pdf" TargetMode="External"/><Relationship Id="rId14" Type="http://schemas.openxmlformats.org/officeDocument/2006/relationships/hyperlink" Target="https://www.comsol.com/model/forced-air-cooling-with-heat-sink-22041" TargetMode="External"/><Relationship Id="rId22" Type="http://schemas.openxmlformats.org/officeDocument/2006/relationships/hyperlink" Target="https://lib.dr.iastate.edu/cgi/viewcontent.cgi?referer=https://www.google.com/&amp;httpsredir=1&amp;article=16436&amp;context=rtd" TargetMode="External"/><Relationship Id="rId27" Type="http://schemas.openxmlformats.org/officeDocument/2006/relationships/hyperlink" Target="https://www.micropumps.co.uk/TCSM410range.htm" TargetMode="External"/><Relationship Id="rId30" Type="http://schemas.openxmlformats.org/officeDocument/2006/relationships/hyperlink" Target="https://web.mst.edu/~rogersda/umrcourses/ge441/Types-of-Drilling-Rigs.pdf" TargetMode="External"/><Relationship Id="rId35" Type="http://schemas.openxmlformats.org/officeDocument/2006/relationships/hyperlink" Target="https://en.wikipedia.org/wiki/National_Geophysical_Data_Center" TargetMode="External"/><Relationship Id="rId43" Type="http://schemas.openxmlformats.org/officeDocument/2006/relationships/hyperlink" Target="https://coast.noaa.gov/data/digitalcoast/pdf/slr-new-mapping-tool.pdf" TargetMode="External"/><Relationship Id="rId48" Type="http://schemas.openxmlformats.org/officeDocument/2006/relationships/hyperlink" Target="https://www.semanticscholar.org/paper/Development-of-vacuum-insulation-panel-with-low-Alam/2f714b2017d881c47e081a775baed962dad8aafb" TargetMode="External"/><Relationship Id="rId56" Type="http://schemas.openxmlformats.org/officeDocument/2006/relationships/hyperlink" Target="https://digitalcommons.wpi.edu/mqp/" TargetMode="External"/><Relationship Id="rId8" Type="http://schemas.openxmlformats.org/officeDocument/2006/relationships/hyperlink" Target="https://plasticpipe.org/pdf/tr-46-hdd-guidelines.pdf" TargetMode="External"/><Relationship Id="rId51" Type="http://schemas.openxmlformats.org/officeDocument/2006/relationships/hyperlink" Target="https://www.researchgate.net/publication/303667702_Low_cost_composites_for_vacuum_insulation_core_material" TargetMode="External"/><Relationship Id="rId3" Type="http://schemas.openxmlformats.org/officeDocument/2006/relationships/hyperlink" Target="https://www.google.com/search?q=shallow+geothermal+depth+vs+temperature&amp;rlz=1C1CHBF_enUS816US816&amp;tbm=isch&amp;tbo=u&amp;source=univ&amp;sa=X&amp;ved=2ahUKEwitn4PtrNLeAhUNT98KHeVtBKgQsAR6BAgEEAE" TargetMode="External"/><Relationship Id="rId12" Type="http://schemas.openxmlformats.org/officeDocument/2006/relationships/hyperlink" Target="https://www.mdpi.com/1996-1073/5/9/3425/pdf" TargetMode="External"/><Relationship Id="rId17" Type="http://schemas.openxmlformats.org/officeDocument/2006/relationships/hyperlink" Target="https://www.in.gov/oed/files/GHPProgramreport.pdf" TargetMode="External"/><Relationship Id="rId25" Type="http://schemas.openxmlformats.org/officeDocument/2006/relationships/hyperlink" Target="https://www.mouser.com/ProductDetail/SparkFun/ROB-10398?qs=sGAEpiMZZMuWWq7rhECaKZMJQ683hOh9OXiADbGEYzw%3d" TargetMode="External"/><Relationship Id="rId33" Type="http://schemas.openxmlformats.org/officeDocument/2006/relationships/hyperlink" Target="https://oceanservice.noaa.gov/facts/sealevel.html" TargetMode="External"/><Relationship Id="rId38" Type="http://schemas.openxmlformats.org/officeDocument/2006/relationships/hyperlink" Target="https://www.edn.com/design/test-and-measurement/4462064/Measure-humidity-with-an-RH-bridge-and-digitally-programmable-capacitor" TargetMode="External"/><Relationship Id="rId46" Type="http://schemas.openxmlformats.org/officeDocument/2006/relationships/hyperlink" Target="https://vipa-international.org/" TargetMode="External"/><Relationship Id="rId59" Type="http://schemas.openxmlformats.org/officeDocument/2006/relationships/hyperlink" Target="https://digitalcommons.wpi.edu/do/search/?q=Yousef%20Mahmoud&amp;start=0&amp;context=12815566&amp;face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homedepot.com/p/Super-TUFF-R-2-in-x-4-ft-x-8-ft-R-13-Insulating-Sheathing-99060464/300528092" TargetMode="External"/><Relationship Id="rId117" Type="http://schemas.openxmlformats.org/officeDocument/2006/relationships/hyperlink" Target="https://en.wikipedia.org/wiki/BACnet" TargetMode="External"/><Relationship Id="rId21" Type="http://schemas.openxmlformats.org/officeDocument/2006/relationships/hyperlink" Target="https://www.homedepot.com/b/Building-Materials-Insulation-Foam-Board-Insulation/EPS/N-5yc1vZbaxxZ1z0w1xr" TargetMode="External"/><Relationship Id="rId42" Type="http://schemas.openxmlformats.org/officeDocument/2006/relationships/hyperlink" Target="https://www.neuffer-windows.com/" TargetMode="External"/><Relationship Id="rId47" Type="http://schemas.openxmlformats.org/officeDocument/2006/relationships/hyperlink" Target="https://www.energyvanguard.com/blog/59419/Big-News-The-R-Value-of-Insulation-Is-Not-a-Constant" TargetMode="External"/><Relationship Id="rId63" Type="http://schemas.openxmlformats.org/officeDocument/2006/relationships/hyperlink" Target="http://www.solarpanelsplus.com/products/solar-storage-tanks/" TargetMode="External"/><Relationship Id="rId68" Type="http://schemas.openxmlformats.org/officeDocument/2006/relationships/hyperlink" Target="https://images.homedepot-static.com/catalog/pdfImages/27/27925d38-5f6f-479b-bff2-97c76c4c60e3.pdf" TargetMode="External"/><Relationship Id="rId84" Type="http://schemas.openxmlformats.org/officeDocument/2006/relationships/hyperlink" Target="http://search.nfrc.org/search/cpd/cpd_search_productline.aspx" TargetMode="External"/><Relationship Id="rId89" Type="http://schemas.openxmlformats.org/officeDocument/2006/relationships/hyperlink" Target="https://www.mathsisfun.com/sine-cosine-tangent.html" TargetMode="External"/><Relationship Id="rId112" Type="http://schemas.openxmlformats.org/officeDocument/2006/relationships/hyperlink" Target="http://standard-motor-interface.com/deciding/technology/?lang=en" TargetMode="External"/><Relationship Id="rId133" Type="http://schemas.openxmlformats.org/officeDocument/2006/relationships/hyperlink" Target="https://service.somfy.com/downloads/nam_v5/lowvoltage_databook_5-2019.pdf" TargetMode="External"/><Relationship Id="rId138" Type="http://schemas.openxmlformats.org/officeDocument/2006/relationships/hyperlink" Target="https://www.avoutlet.com/roller-shade-info/installation-and-programming-downloads/" TargetMode="External"/><Relationship Id="rId16" Type="http://schemas.openxmlformats.org/officeDocument/2006/relationships/hyperlink" Target="https://www.sips.org/downloads/rsmeanssipscoststudyreportjan2007.pdf" TargetMode="External"/><Relationship Id="rId107" Type="http://schemas.openxmlformats.org/officeDocument/2006/relationships/hyperlink" Target="https://www.ivoryegg.co.uk/product_guides/shading-control-with-knx" TargetMode="External"/><Relationship Id="rId11" Type="http://schemas.openxmlformats.org/officeDocument/2006/relationships/hyperlink" Target="https://www.sips.org/technical-information/sip-r-values-calculated-r-values" TargetMode="External"/><Relationship Id="rId32" Type="http://schemas.openxmlformats.org/officeDocument/2006/relationships/hyperlink" Target="https://www.amazon.com/Pack-Charcoal-Acoustic-Absorption-Treatment/dp/B01KKNO9QW/ref=sr_1_24?fst=as%3Aoff&amp;qid=1556383938&amp;refinements=p_72%3A1248939011&amp;rnid=1248937011&amp;s=musical-instruments&amp;sr=1-24" TargetMode="External"/><Relationship Id="rId37" Type="http://schemas.openxmlformats.org/officeDocument/2006/relationships/hyperlink" Target="https://www.bestmaterials.com/detail.aspx?ID=23032" TargetMode="External"/><Relationship Id="rId53" Type="http://schemas.openxmlformats.org/officeDocument/2006/relationships/hyperlink" Target="http://www.polarpower.org/" TargetMode="External"/><Relationship Id="rId58" Type="http://schemas.openxmlformats.org/officeDocument/2006/relationships/hyperlink" Target="http://www.wrecc.com/understanding-heat-pumps-2/" TargetMode="External"/><Relationship Id="rId74" Type="http://schemas.openxmlformats.org/officeDocument/2006/relationships/hyperlink" Target="https://www.ontimesupplies.com/solutions/conference-tables-size-guide" TargetMode="External"/><Relationship Id="rId79" Type="http://schemas.openxmlformats.org/officeDocument/2006/relationships/hyperlink" Target="https://en.wikipedia.org/wiki/Zero-energy_building" TargetMode="External"/><Relationship Id="rId102" Type="http://schemas.openxmlformats.org/officeDocument/2006/relationships/hyperlink" Target="https://www.google.com/search?q=natural+gas+cost+per+btu&amp;rlz=1C1CHBF_enUS816US816&amp;oq=natural+gas+cost+per+btu&amp;aqs=chrome..69i57j0l5.9358j1j7&amp;sourceid=chrome&amp;ie=UTF-8" TargetMode="External"/><Relationship Id="rId123" Type="http://schemas.openxmlformats.org/officeDocument/2006/relationships/hyperlink" Target="https://www.iesve.com/case_studies/pdf/somfy_phillips_whitepaper_final.pdf" TargetMode="External"/><Relationship Id="rId128" Type="http://schemas.openxmlformats.org/officeDocument/2006/relationships/hyperlink" Target="https://www.somfysystems.com/en-us/products/shades-blinds-curtains/motorized-curtains" TargetMode="External"/><Relationship Id="rId5" Type="http://schemas.openxmlformats.org/officeDocument/2006/relationships/hyperlink" Target="https://www.wconline.com/articles/89616-barrier-requirements-for-spf" TargetMode="External"/><Relationship Id="rId90" Type="http://schemas.openxmlformats.org/officeDocument/2006/relationships/hyperlink" Target="https://www.youtube.com/watch?v=SE0_CJKADPk" TargetMode="External"/><Relationship Id="rId95" Type="http://schemas.openxmlformats.org/officeDocument/2006/relationships/hyperlink" Target="https://en.wikipedia.org/wiki/R-value_(insulation)" TargetMode="External"/><Relationship Id="rId22" Type="http://schemas.openxmlformats.org/officeDocument/2006/relationships/hyperlink" Target="https://www.homedepot.com/b/Building-Materials-Insulation-Foam-Board-Insulation/XPS/N-5yc1vZbaxxZ1z0w1xo?storeSelection=2623,2663,2686,2653,2614" TargetMode="External"/><Relationship Id="rId27" Type="http://schemas.openxmlformats.org/officeDocument/2006/relationships/hyperlink" Target="https://soundproofliving.com/soundproofing-materials/" TargetMode="External"/><Relationship Id="rId43" Type="http://schemas.openxmlformats.org/officeDocument/2006/relationships/hyperlink" Target="https://www.koemmerling.com/en/" TargetMode="External"/><Relationship Id="rId48" Type="http://schemas.openxmlformats.org/officeDocument/2006/relationships/hyperlink" Target="https://www.buildingscience.com/documents/reports/rr-1401-design-challenges-nist-net-zero-energy-residential-test-facility/view" TargetMode="External"/><Relationship Id="rId64" Type="http://schemas.openxmlformats.org/officeDocument/2006/relationships/hyperlink" Target="http://www.solarpanelsplus.com/pdfs/spec-sheet-niles-tank-jacketed-and-insulated-large-volume-solar-tanks.pdf" TargetMode="External"/><Relationship Id="rId69" Type="http://schemas.openxmlformats.org/officeDocument/2006/relationships/hyperlink" Target="https://www.homedepot.com/p/Owens-Corning-R-19-EcoTouch-PINK-Kraft-Faced-Fiberglass-Insulation-Sono-Batt-24-in-x-48-in-10-Bags-M37Q/202568773" TargetMode="External"/><Relationship Id="rId113" Type="http://schemas.openxmlformats.org/officeDocument/2006/relationships/hyperlink" Target="http://mft.becker-antriebe.com:5600/folder/smi%20en.pdf" TargetMode="External"/><Relationship Id="rId118" Type="http://schemas.openxmlformats.org/officeDocument/2006/relationships/hyperlink" Target="http://www.bacnet.org/Bibliography/ES-7-96/ES-7-96.htm" TargetMode="External"/><Relationship Id="rId134" Type="http://schemas.openxmlformats.org/officeDocument/2006/relationships/hyperlink" Target="https://www.baliblinds.com/globalassets/3.-documents/installation-instructions/bali-motorization-owners-manual-autoview.pdf" TargetMode="External"/><Relationship Id="rId139" Type="http://schemas.openxmlformats.org/officeDocument/2006/relationships/hyperlink" Target="https://static.theshadestore.com/s3/theshadestore/cms/files/Somfy_Roller_Solar_Combined.pdf" TargetMode="External"/><Relationship Id="rId8" Type="http://schemas.openxmlformats.org/officeDocument/2006/relationships/hyperlink" Target="https://buildingscience.com/sites/default/files/migrate/pdf/BA-0903_High-R_Value_Walls_Case_Study_rev_2014.pdf" TargetMode="External"/><Relationship Id="rId51" Type="http://schemas.openxmlformats.org/officeDocument/2006/relationships/hyperlink" Target="https://www.miamihp.com/support.php" TargetMode="External"/><Relationship Id="rId72" Type="http://schemas.openxmlformats.org/officeDocument/2006/relationships/hyperlink" Target="https://dcpd6wotaa0mb.cloudfront.net/mdms/dms/Residential%20Insulation/18142/18142-EcoTouch-Flame-Spread-25-Product-Data-Sheet.pdf?v=1531982898000" TargetMode="External"/><Relationship Id="rId80" Type="http://schemas.openxmlformats.org/officeDocument/2006/relationships/hyperlink" Target="https://www.youtube.com/watch?v=st-Gd1ZcFyM&amp;t=325s" TargetMode="External"/><Relationship Id="rId85" Type="http://schemas.openxmlformats.org/officeDocument/2006/relationships/hyperlink" Target="http://www.sfu.ca/phys/346/121/lecture_notes/lecture33_heat_loss.pdf" TargetMode="External"/><Relationship Id="rId93" Type="http://schemas.openxmlformats.org/officeDocument/2006/relationships/hyperlink" Target="https://en.wikipedia.org/wiki/Thermal_conductivity" TargetMode="External"/><Relationship Id="rId98" Type="http://schemas.openxmlformats.org/officeDocument/2006/relationships/hyperlink" Target="https://www.ecohome.net/guides/2208/thermal-batteries-all-about-storing-solar-heat/" TargetMode="External"/><Relationship Id="rId121" Type="http://schemas.openxmlformats.org/officeDocument/2006/relationships/hyperlink" Target="https://service.somfy.com/downloads/nam_v4/animeo_ip_brochure.pdf" TargetMode="External"/><Relationship Id="rId3" Type="http://schemas.openxmlformats.org/officeDocument/2006/relationships/hyperlink" Target="http://www.greenenergyfutures.ca/episode/insulation-101" TargetMode="External"/><Relationship Id="rId12" Type="http://schemas.openxmlformats.org/officeDocument/2006/relationships/hyperlink" Target="https://www.sips.org/technical-information/sip-r-values-calculated-r-values" TargetMode="External"/><Relationship Id="rId17" Type="http://schemas.openxmlformats.org/officeDocument/2006/relationships/hyperlink" Target="https://scholar.colorado.edu/cgi/viewcontent.cgi?article=2109&amp;context=honr_theses" TargetMode="External"/><Relationship Id="rId25" Type="http://schemas.openxmlformats.org/officeDocument/2006/relationships/hyperlink" Target="https://www.homewyse.com/services/cost_to_excavate_land.html" TargetMode="External"/><Relationship Id="rId33" Type="http://schemas.openxmlformats.org/officeDocument/2006/relationships/hyperlink" Target="https://www.soundproofingtips.com/how-to-use-soundproof-drywall-sheetrock/" TargetMode="External"/><Relationship Id="rId38" Type="http://schemas.openxmlformats.org/officeDocument/2006/relationships/hyperlink" Target="https://www.homedepot.com/p/R-Tech-1-in-x-4-ft-x-8-ft-R-3-85-Insulating-Sheathing-320821/202532854" TargetMode="External"/><Relationship Id="rId46" Type="http://schemas.openxmlformats.org/officeDocument/2006/relationships/hyperlink" Target="https://www.buildingscience.com/documents/information-sheets/info-502-temperature-dependent-r-value" TargetMode="External"/><Relationship Id="rId59" Type="http://schemas.openxmlformats.org/officeDocument/2006/relationships/hyperlink" Target="https://michaelbluejay.com/electricity/solar-water-heating.html" TargetMode="External"/><Relationship Id="rId67" Type="http://schemas.openxmlformats.org/officeDocument/2006/relationships/hyperlink" Target="https://www.homedepot.com/p/Owens-Corning-R-38-EcoTouch-PINK-Kraft-Faced-Fiberglass-Insulation-Batt-16-in-x-48-in-ME25/100320348" TargetMode="External"/><Relationship Id="rId103" Type="http://schemas.openxmlformats.org/officeDocument/2006/relationships/hyperlink" Target="https://service.somfy.com/downloads/nam_v4/cbsspec_binder.pdf" TargetMode="External"/><Relationship Id="rId108" Type="http://schemas.openxmlformats.org/officeDocument/2006/relationships/hyperlink" Target="https://beg-russia.ru/upload/iblock/350/Application%20description%20KNX%20blind%20actuators.pdf" TargetMode="External"/><Relationship Id="rId116" Type="http://schemas.openxmlformats.org/officeDocument/2006/relationships/hyperlink" Target="https://www.digitalilluminationinterface.org/dali/standards.html" TargetMode="External"/><Relationship Id="rId124" Type="http://schemas.openxmlformats.org/officeDocument/2006/relationships/hyperlink" Target="https://service.somfy.com/downloads/nam_v4/cbsspec_binder.pdf" TargetMode="External"/><Relationship Id="rId129" Type="http://schemas.openxmlformats.org/officeDocument/2006/relationships/hyperlink" Target="https://service.somfy.com/downloads/nam_v4/cbsspec_binder.pdf" TargetMode="External"/><Relationship Id="rId137" Type="http://schemas.openxmlformats.org/officeDocument/2006/relationships/hyperlink" Target="https://media.blinds.com/pdfs/Blynco_Roller_InstallationInstructions.pdf" TargetMode="External"/><Relationship Id="rId20" Type="http://schemas.openxmlformats.org/officeDocument/2006/relationships/hyperlink" Target="https://www.homedepot.com/p/Owens-Corning-FOAMULAR-150-1-1-2-in-x-4-ft-x-8-ft-R-7-5-Scored-Squared-Edge-Rigid-Foam-Board-Insulation-Sheathing-88WD/202085958" TargetMode="External"/><Relationship Id="rId41" Type="http://schemas.openxmlformats.org/officeDocument/2006/relationships/hyperlink" Target="https://www.neuffer-windows.com/wood-entry-doors.php" TargetMode="External"/><Relationship Id="rId54" Type="http://schemas.openxmlformats.org/officeDocument/2006/relationships/hyperlink" Target="https://pvwatts.nrel.gov/" TargetMode="External"/><Relationship Id="rId62" Type="http://schemas.openxmlformats.org/officeDocument/2006/relationships/hyperlink" Target="https://www.pvi.com/products/commercial-dual-energy-water-heaters.htm" TargetMode="External"/><Relationship Id="rId70" Type="http://schemas.openxmlformats.org/officeDocument/2006/relationships/hyperlink" Target="https://images.homedepot-static.com/catalog/pdfImages/56/56bfa2cd-6c15-4f93-8f66-2b935ec5e12a.pdf" TargetMode="External"/><Relationship Id="rId75" Type="http://schemas.openxmlformats.org/officeDocument/2006/relationships/hyperlink" Target="http://www.ambiencedore.com/conference-room-planning-guide/" TargetMode="External"/><Relationship Id="rId83" Type="http://schemas.openxmlformats.org/officeDocument/2006/relationships/hyperlink" Target="https://nfrc.org/label.aspx" TargetMode="External"/><Relationship Id="rId88" Type="http://schemas.openxmlformats.org/officeDocument/2006/relationships/hyperlink" Target="https://www.solarpaneltilt.com/" TargetMode="External"/><Relationship Id="rId91" Type="http://schemas.openxmlformats.org/officeDocument/2006/relationships/hyperlink" Target="https://www.youtube.com/watch?v=st-Gd1ZcFyM&amp;t=325s" TargetMode="External"/><Relationship Id="rId96" Type="http://schemas.openxmlformats.org/officeDocument/2006/relationships/hyperlink" Target="https://en.wikipedia.org/wiki/List_of_thermal_conductivities" TargetMode="External"/><Relationship Id="rId111" Type="http://schemas.openxmlformats.org/officeDocument/2006/relationships/hyperlink" Target="http://standard-motor-interface.com/wp-content/uploads/Download/060608SMI-Conductor-assignment-diagram_Rev1-3-E.pdf" TargetMode="External"/><Relationship Id="rId132" Type="http://schemas.openxmlformats.org/officeDocument/2006/relationships/hyperlink" Target="https://dandcdesign.com.au/wp-content/uploads/2016/05/Glydea-July-2011-version-LR.pdf" TargetMode="External"/><Relationship Id="rId140" Type="http://schemas.openxmlformats.org/officeDocument/2006/relationships/printerSettings" Target="../printerSettings/printerSettings5.bin"/><Relationship Id="rId1" Type="http://schemas.openxmlformats.org/officeDocument/2006/relationships/hyperlink" Target="https://cdn.ymaws.com/www.nibs.org/resource/resmgr/BEST/BEST2_EE6-4.pdf" TargetMode="External"/><Relationship Id="rId6" Type="http://schemas.openxmlformats.org/officeDocument/2006/relationships/hyperlink" Target="https://www.energy.gov/energysaver/weatherize/insulation/types-insulation" TargetMode="External"/><Relationship Id="rId15" Type="http://schemas.openxmlformats.org/officeDocument/2006/relationships/hyperlink" Target="https://www.sips.org/downloads/Eric-Tompos-SIP-Eng-Design-Guide-TFEC-Symposium-2017-05-19.pdf" TargetMode="External"/><Relationship Id="rId23" Type="http://schemas.openxmlformats.org/officeDocument/2006/relationships/hyperlink" Target="https://www.homedepot.com/p/Super-TUFF-R-2-in-x-4-ft-x-8-ft-R-13-Insulating-Sheathing-99060464/300528092" TargetMode="External"/><Relationship Id="rId28" Type="http://schemas.openxmlformats.org/officeDocument/2006/relationships/hyperlink" Target="https://www.homedepot.com/b/Flooring/N-5yc1vZaq7r/Ntk-tagger/Ntt-sound%2Bproofing%2Bmaterial?NCNI-5&amp;storeSelection=2623,2663,2686,2653,2614" TargetMode="External"/><Relationship Id="rId36" Type="http://schemas.openxmlformats.org/officeDocument/2006/relationships/hyperlink" Target="https://www.homedepot.com/p/R-Tech-1-in-x-4-ft-x-8-ft-R-3-85-Insulating-Sheathing-320821/202532854" TargetMode="External"/><Relationship Id="rId49" Type="http://schemas.openxmlformats.org/officeDocument/2006/relationships/hyperlink" Target="https://bradburybrothers.com/blog/pros-cons-hybrid-water-heaters/" TargetMode="External"/><Relationship Id="rId57" Type="http://schemas.openxmlformats.org/officeDocument/2006/relationships/hyperlink" Target="mailto:Avi@MiamiHp.com" TargetMode="External"/><Relationship Id="rId106" Type="http://schemas.openxmlformats.org/officeDocument/2006/relationships/hyperlink" Target="https://knxforleed.com/en/solutions/64-knx-for-leed-solutions/blind-shutter-system/63-knx-solutions-blind-shutter-control.html" TargetMode="External"/><Relationship Id="rId114" Type="http://schemas.openxmlformats.org/officeDocument/2006/relationships/hyperlink" Target="https://www.lonmark.org/fps/" TargetMode="External"/><Relationship Id="rId119" Type="http://schemas.openxmlformats.org/officeDocument/2006/relationships/hyperlink" Target="https://www.loytec.com/products/dali/l-dali-bacnet?showall=1&amp;start=0" TargetMode="External"/><Relationship Id="rId127" Type="http://schemas.openxmlformats.org/officeDocument/2006/relationships/hyperlink" Target="https://www.koemmerling.com/en/products/shutter-systems/rolaplus-roller-shutter-box-systems/" TargetMode="External"/><Relationship Id="rId10" Type="http://schemas.openxmlformats.org/officeDocument/2006/relationships/hyperlink" Target="http://aidomes.com/insulation-comparisons/" TargetMode="External"/><Relationship Id="rId31" Type="http://schemas.openxmlformats.org/officeDocument/2006/relationships/hyperlink" Target="https://www.amazon.com/Recording-Studio-Acoustical-Treatments/b/ref=dp_bc_aui_C_4?ie=UTF8&amp;node=11975721" TargetMode="External"/><Relationship Id="rId44" Type="http://schemas.openxmlformats.org/officeDocument/2006/relationships/hyperlink" Target="https://www.josko.com/en/products/windows/" TargetMode="External"/><Relationship Id="rId52" Type="http://schemas.openxmlformats.org/officeDocument/2006/relationships/hyperlink" Target="http://www.herbstanford.net/sbd.pdf" TargetMode="External"/><Relationship Id="rId60" Type="http://schemas.openxmlformats.org/officeDocument/2006/relationships/hyperlink" Target="https://www.homedepot.com/p/Owens-Corning-R-38-EcoTouch-PINK-Unfaced-Fiberglass-Insulation-Batt-24-in-x-48-in-8-Bags-BU81/205471557" TargetMode="External"/><Relationship Id="rId65" Type="http://schemas.openxmlformats.org/officeDocument/2006/relationships/hyperlink" Target="https://en.wikipedia.org/wiki/Tesla_Powerwall" TargetMode="External"/><Relationship Id="rId73" Type="http://schemas.openxmlformats.org/officeDocument/2006/relationships/hyperlink" Target="https://www.homedepot.com/p/Owens-Corning-R-19-EcoTouch-PINK-Flame-Spread-25-Metal-Framed-FSK-Faced-Fiberglass-Insulation-Batts-16-in-x-96-in-10-Bags-F42Q/205469820" TargetMode="External"/><Relationship Id="rId78" Type="http://schemas.openxmlformats.org/officeDocument/2006/relationships/hyperlink" Target="https://www.youtube.com/watch?v=st-Gd1ZcFyM&amp;t=325s" TargetMode="External"/><Relationship Id="rId81" Type="http://schemas.openxmlformats.org/officeDocument/2006/relationships/hyperlink" Target="https://en.wikipedia.org/wiki/Zero-energy_building" TargetMode="External"/><Relationship Id="rId86" Type="http://schemas.openxmlformats.org/officeDocument/2006/relationships/hyperlink" Target="http://www.massenzarigs.com/water-well-drilling-rigs/" TargetMode="External"/><Relationship Id="rId94" Type="http://schemas.openxmlformats.org/officeDocument/2006/relationships/hyperlink" Target="https://en.wikipedia.org/wiki/List_of_thermal_conductivities" TargetMode="External"/><Relationship Id="rId99" Type="http://schemas.openxmlformats.org/officeDocument/2006/relationships/hyperlink" Target="https://en.wikipedia.org/wiki/Thermal_energy_storage" TargetMode="External"/><Relationship Id="rId101" Type="http://schemas.openxmlformats.org/officeDocument/2006/relationships/hyperlink" Target="https://buffalo.extension.wisc.edu/files/2011/01/Energy-Cost-Calculator-for-Various-Fuels-PSU.pdf" TargetMode="External"/><Relationship Id="rId122" Type="http://schemas.openxmlformats.org/officeDocument/2006/relationships/hyperlink" Target="https://cdn.dynalite.org/public-download/1472/c6bc90cf3a37c1f34908dd3bca12776f" TargetMode="External"/><Relationship Id="rId130" Type="http://schemas.openxmlformats.org/officeDocument/2006/relationships/hyperlink" Target="https://www.somfypro.com/documents/531668/3932114/Glydea+Databook+2014.pdf" TargetMode="External"/><Relationship Id="rId135" Type="http://schemas.openxmlformats.org/officeDocument/2006/relationships/hyperlink" Target="https://www.zebrablinds.ca/pub/media/knowledge/specification/grb-rf-mtr-blind-shd-spec.pdf" TargetMode="External"/><Relationship Id="rId4" Type="http://schemas.openxmlformats.org/officeDocument/2006/relationships/hyperlink" Target="https://hammerandhand.com/field-notes/passive-house-lessons-pacific-northwest/" TargetMode="External"/><Relationship Id="rId9" Type="http://schemas.openxmlformats.org/officeDocument/2006/relationships/hyperlink" Target="https://buildingscience.com/sites/default/files/migrate/pdf/BA-1005_High%20R-Value_Walls_Case_Study.pdf" TargetMode="External"/><Relationship Id="rId13" Type="http://schemas.openxmlformats.org/officeDocument/2006/relationships/hyperlink" Target="http://aidomes.com/insulation-comparisons/" TargetMode="External"/><Relationship Id="rId18" Type="http://schemas.openxmlformats.org/officeDocument/2006/relationships/hyperlink" Target="https://www.youtube.com/watch?v=aiH4zXEE60g" TargetMode="External"/><Relationship Id="rId39" Type="http://schemas.openxmlformats.org/officeDocument/2006/relationships/hyperlink" Target="https://www.ecohome.net/guides/2254/polyisocyanurate-foam-is-a-hot-new-building-product-learn-where-and-where-not-to-use-it/" TargetMode="External"/><Relationship Id="rId109" Type="http://schemas.openxmlformats.org/officeDocument/2006/relationships/hyperlink" Target="https://new.abb.com/low-voltage/products/building-automation/product-range/abb-i-bus-knx/products/shading-control" TargetMode="External"/><Relationship Id="rId34" Type="http://schemas.openxmlformats.org/officeDocument/2006/relationships/hyperlink" Target="https://workingwalls.com/nrc-and-stc-what-are-they-whats-the-difference/" TargetMode="External"/><Relationship Id="rId50" Type="http://schemas.openxmlformats.org/officeDocument/2006/relationships/hyperlink" Target="https://www.energy.gov/energysaver/water-heating/heat-pump-water-heaters" TargetMode="External"/><Relationship Id="rId55" Type="http://schemas.openxmlformats.org/officeDocument/2006/relationships/hyperlink" Target="https://www.energysage.com/solar-panels/solar-companies/ma/middlesex-county/cambridge/" TargetMode="External"/><Relationship Id="rId76" Type="http://schemas.openxmlformats.org/officeDocument/2006/relationships/hyperlink" Target="http://www.valerialuxuryliving.com/22127/standard-conference-table-dimensions/captivating-standard-conference-table-dimensions-conference-table-dimensions-for-8-google-search-jury-pinterest/" TargetMode="External"/><Relationship Id="rId97" Type="http://schemas.openxmlformats.org/officeDocument/2006/relationships/hyperlink" Target="http://web.mit.edu/solardecathlon/solar6.html" TargetMode="External"/><Relationship Id="rId104" Type="http://schemas.openxmlformats.org/officeDocument/2006/relationships/hyperlink" Target="https://www.windowmaster.com/products/window-actuators/chain-actuators/chain-actuator-500n-2a" TargetMode="External"/><Relationship Id="rId120" Type="http://schemas.openxmlformats.org/officeDocument/2006/relationships/hyperlink" Target="https://www.ikea.com/us/en/cat/electric-blinds-44531/" TargetMode="External"/><Relationship Id="rId125" Type="http://schemas.openxmlformats.org/officeDocument/2006/relationships/hyperlink" Target="https://www.neuffer-windows.com/roller-shutters-top-mounted.php" TargetMode="External"/><Relationship Id="rId7" Type="http://schemas.openxmlformats.org/officeDocument/2006/relationships/hyperlink" Target="https://www.energy.gov/energysaver/weatherize/insulation/where-insulate-home" TargetMode="External"/><Relationship Id="rId71" Type="http://schemas.openxmlformats.org/officeDocument/2006/relationships/hyperlink" Target="https://www.owenscorning.com/insulation/products/ecotouch-flame-spread-25" TargetMode="External"/><Relationship Id="rId92" Type="http://schemas.openxmlformats.org/officeDocument/2006/relationships/hyperlink" Target="https://www.jmesales.com/above-ground-tanks-and-pump-vent-kits/?_bc_fsnf=1&amp;Size=500+Gallon" TargetMode="External"/><Relationship Id="rId2" Type="http://schemas.openxmlformats.org/officeDocument/2006/relationships/hyperlink" Target="http://www.swinter.com/assets/Practical_Residential_Wall_Systems.pdf" TargetMode="External"/><Relationship Id="rId29" Type="http://schemas.openxmlformats.org/officeDocument/2006/relationships/hyperlink" Target="https://www.uline.com/BL_2385/Soundproofing-Foam" TargetMode="External"/><Relationship Id="rId24" Type="http://schemas.openxmlformats.org/officeDocument/2006/relationships/hyperlink" Target="http://www.swinter.com/assets/Practical_Residential_Wall_Systems.pdf" TargetMode="External"/><Relationship Id="rId40" Type="http://schemas.openxmlformats.org/officeDocument/2006/relationships/hyperlink" Target="https://zeroenergyproject.org/build/twelve-steps-affordable-zero-energy-home-construction-design/specify-highly-insulated-windows-doors/" TargetMode="External"/><Relationship Id="rId45" Type="http://schemas.openxmlformats.org/officeDocument/2006/relationships/hyperlink" Target="https://www.homedepot.com/s/veneer%2520stone?NCNI-5" TargetMode="External"/><Relationship Id="rId66" Type="http://schemas.openxmlformats.org/officeDocument/2006/relationships/hyperlink" Target="http://www.sunmaxxsolar.com/shop/shop-stormaxx-pressurized-buffer-tanks/500-gallon-pressurized-buffer-tank-vertical-and-insulated/" TargetMode="External"/><Relationship Id="rId87" Type="http://schemas.openxmlformats.org/officeDocument/2006/relationships/hyperlink" Target="https://pubs.usgs.gov/pp/1366e-j/report.pdf" TargetMode="External"/><Relationship Id="rId110" Type="http://schemas.openxmlformats.org/officeDocument/2006/relationships/hyperlink" Target="https://search-ext.abb.com/library/Download.aspx?DocumentID=2CDC506040D0201&amp;LanguageCode=en&amp;DocumentPartId=&amp;Action=Launch" TargetMode="External"/><Relationship Id="rId115" Type="http://schemas.openxmlformats.org/officeDocument/2006/relationships/hyperlink" Target="https://zencontrol.com/blind-control/" TargetMode="External"/><Relationship Id="rId131" Type="http://schemas.openxmlformats.org/officeDocument/2006/relationships/hyperlink" Target="https://www.floridaautomatedshade.com/Somfy-Glydea-Motorized-Drapery-Curtain-System-s/124.htm" TargetMode="External"/><Relationship Id="rId136" Type="http://schemas.openxmlformats.org/officeDocument/2006/relationships/hyperlink" Target="http://www.windowworldhi.com/wp-content/uploads/2018/08/Somfy-Overview-2.pdf" TargetMode="External"/><Relationship Id="rId61" Type="http://schemas.openxmlformats.org/officeDocument/2006/relationships/hyperlink" Target="mailto:sales@123zeroenergy.com" TargetMode="External"/><Relationship Id="rId82" Type="http://schemas.openxmlformats.org/officeDocument/2006/relationships/hyperlink" Target="https://www.energystar.gov/products/building_products/residential_windows_doors_and_skylights/independently_tested_certified_energy_performance" TargetMode="External"/><Relationship Id="rId19" Type="http://schemas.openxmlformats.org/officeDocument/2006/relationships/hyperlink" Target="https://univfoam.com/pricing-calculators/eps-pricing" TargetMode="External"/><Relationship Id="rId14" Type="http://schemas.openxmlformats.org/officeDocument/2006/relationships/hyperlink" Target="https://www.sips.org/about/what-are-sips" TargetMode="External"/><Relationship Id="rId30" Type="http://schemas.openxmlformats.org/officeDocument/2006/relationships/hyperlink" Target="https://www.soundproofingtips.com/soundproofing-materials/" TargetMode="External"/><Relationship Id="rId35" Type="http://schemas.openxmlformats.org/officeDocument/2006/relationships/hyperlink" Target="https://www.amazon.com/ATS-Acoustic-24x48x2-Beveled-Natural/dp/B002WLF0BY?psc=1&amp;SubscriptionId=AKIAJ5D3JAXJBKMXQPHQ&amp;tag=sndprf-20&amp;linkCode=xm2&amp;camp=2025&amp;creative=165953&amp;creativeASIN=B002WLF0BY" TargetMode="External"/><Relationship Id="rId56" Type="http://schemas.openxmlformats.org/officeDocument/2006/relationships/hyperlink" Target="https://rimstar.org/renewnrg/heat_transfer_loss_calculations.htm" TargetMode="External"/><Relationship Id="rId77" Type="http://schemas.openxmlformats.org/officeDocument/2006/relationships/hyperlink" Target="https://www.youtube.com/watch?v=st-Gd1ZcFyM&amp;t=325s" TargetMode="External"/><Relationship Id="rId100" Type="http://schemas.openxmlformats.org/officeDocument/2006/relationships/hyperlink" Target="https://en.wikipedia.org/wiki/Storage_heater" TargetMode="External"/><Relationship Id="rId105" Type="http://schemas.openxmlformats.org/officeDocument/2006/relationships/hyperlink" Target="https://www.nxp.com/docs/en/user-guide/JN-UG-3077.pdf" TargetMode="External"/><Relationship Id="rId126" Type="http://schemas.openxmlformats.org/officeDocument/2006/relationships/hyperlink" Target="https://www.neuffer-windows.com/roller-shutters-front-mounted.php"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ablebits.com/office-addins-blog/2015/12/08/excel-reference-another-sheet-workbook/" TargetMode="External"/><Relationship Id="rId2" Type="http://schemas.openxmlformats.org/officeDocument/2006/relationships/hyperlink" Target="https://contextures.com/xlFunctions05.html" TargetMode="External"/><Relationship Id="rId1" Type="http://schemas.openxmlformats.org/officeDocument/2006/relationships/hyperlink" Target="https://support.microsoft.com/en-us/help/328440/description-of-link-management-and-storage-in-excel" TargetMode="External"/><Relationship Id="rId5" Type="http://schemas.openxmlformats.org/officeDocument/2006/relationships/printerSettings" Target="../printerSettings/printerSettings6.bin"/><Relationship Id="rId4" Type="http://schemas.openxmlformats.org/officeDocument/2006/relationships/hyperlink" Target="http://www.ti.com/reference-designs/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L3879"/>
  <sheetViews>
    <sheetView tabSelected="1" topLeftCell="A5" workbookViewId="0">
      <selection activeCell="G18" sqref="G18"/>
    </sheetView>
  </sheetViews>
  <sheetFormatPr defaultRowHeight="14.5" x14ac:dyDescent="0.35"/>
  <cols>
    <col min="1" max="1" width="8.7265625" style="89"/>
    <col min="2" max="2" width="8.7265625" style="83"/>
    <col min="4" max="4" width="9.81640625" bestFit="1" customWidth="1"/>
    <col min="5" max="5" width="9.6328125" bestFit="1" customWidth="1"/>
    <col min="6" max="6" width="8.7265625" customWidth="1"/>
    <col min="8" max="8" width="10.08984375" bestFit="1" customWidth="1"/>
    <col min="9" max="9" width="9.81640625" customWidth="1"/>
    <col min="10" max="10" width="9.36328125" bestFit="1" customWidth="1"/>
    <col min="14" max="14" width="8.90625" bestFit="1" customWidth="1"/>
    <col min="17" max="17" width="9" bestFit="1" customWidth="1"/>
    <col min="18" max="18" width="8.7265625" customWidth="1"/>
    <col min="19" max="19" width="9.81640625" bestFit="1" customWidth="1"/>
    <col min="25" max="25" width="9.1796875" bestFit="1" customWidth="1"/>
    <col min="27" max="27" width="9.1796875" bestFit="1" customWidth="1"/>
  </cols>
  <sheetData>
    <row r="1" spans="1:20" s="88" customFormat="1" x14ac:dyDescent="0.35">
      <c r="A1" s="86" t="s">
        <v>8204</v>
      </c>
    </row>
    <row r="2" spans="1:20" x14ac:dyDescent="0.35">
      <c r="A2" s="89" t="s">
        <v>0</v>
      </c>
    </row>
    <row r="3" spans="1:20" x14ac:dyDescent="0.35">
      <c r="B3" s="1" t="str">
        <f ca="1">HYPERLINK(CONCATENATE("#",CELL("address",$A$37)),$A$37)</f>
        <v>100m^2 watt roof</v>
      </c>
      <c r="J3" s="89" t="s">
        <v>0</v>
      </c>
      <c r="K3" s="1" t="str">
        <f ca="1">HYPERLINK(CONCATENATE("#",CELL("address",$A$725)),$A$725)</f>
        <v>Design Considerations</v>
      </c>
      <c r="S3" s="89" t="s">
        <v>0</v>
      </c>
      <c r="T3" s="1" t="str">
        <f ca="1">HYPERLINK(CONCATENATE("#",CELL("address",$A$2320)),$A$2320)</f>
        <v>DESIGN: 24..84V in to 10V/2A/2W out  DC-to-DC Converter, Non-Isolated, Regulated</v>
      </c>
    </row>
    <row r="4" spans="1:20" x14ac:dyDescent="0.35">
      <c r="B4" s="1" t="str">
        <f ca="1">HYPERLINK(CONCATENATE("#",CELL("address",$A$73)),$A$73)</f>
        <v>Batteries and Switches</v>
      </c>
      <c r="J4" s="89" t="s">
        <v>0</v>
      </c>
      <c r="K4" s="1" t="str">
        <f ca="1">HYPERLINK(CONCATENATE("#",CELL("address",$A$766)),$A$766)</f>
        <v>Working with MOSFETS</v>
      </c>
      <c r="S4" s="89" t="s">
        <v>0</v>
      </c>
      <c r="T4" s="1" t="str">
        <f ca="1">HYPERLINK(CONCATENATE("#",CELL("address",$A$2337)),$A$2337)</f>
        <v>DESIGN: 36..56V in to 5V/2A/10W out DC-to-DC Converter, Non-Isolated, Regulated -- Provides  "5V-String-Pwr" to each entire string</v>
      </c>
    </row>
    <row r="5" spans="1:20" x14ac:dyDescent="0.35">
      <c r="B5" s="1" t="str">
        <f ca="1">HYPERLINK(CONCATENATE("#",CELL("address",$A$116)),$A$116)</f>
        <v>Bank of Panels (1 lo + 1 hi)</v>
      </c>
      <c r="J5" s="89" t="s">
        <v>0</v>
      </c>
      <c r="K5" s="1" t="str">
        <f ca="1">HYPERLINK(CONCATENATE("#",CELL("address",$A$816)),$A$816)</f>
        <v>DC-to-DC Converter References</v>
      </c>
      <c r="S5" s="89" t="s">
        <v>0</v>
      </c>
      <c r="T5" s="1" t="str">
        <f ca="1">HYPERLINK(CONCATENATE("#",CELL("address",$A$2376)),$A$2376)</f>
        <v>DESIGN: 5V in to 3.3V/130mA/500mW typical out (1W max), DC-to-DC Converter, Isolated -- powers microprocessor (and analog 2.9Vpwr)</v>
      </c>
    </row>
    <row r="6" spans="1:20" x14ac:dyDescent="0.35">
      <c r="B6" s="1" t="str">
        <f ca="1">HYPERLINK(CONCATENATE("#",CELL("address",$A$145)),$A$145)</f>
        <v>PCB + Analog Monitoring Electronics + Digital Processor (no mosfet/triac switches)</v>
      </c>
      <c r="J6" s="89" t="s">
        <v>0</v>
      </c>
      <c r="K6" s="1" t="str">
        <f ca="1">HYPERLINK(CONCATENATE("#",CELL("address",$A$900)),$A$900)</f>
        <v>Reference Designs, DC-to-DC and DC-to-AC converters</v>
      </c>
      <c r="S6" s="89" t="s">
        <v>0</v>
      </c>
      <c r="T6" s="1" t="str">
        <f ca="1">HYPERLINK(CONCATENATE("#",CELL("address",$A$2440)),$A$2440)</f>
        <v>DESIGN: 5V in to 12V/3mA/36mW typical out (20mA/360mW max), DC-to-DC Converter, Isolated -- powers ideal diode circuit at last element of string</v>
      </c>
    </row>
    <row r="7" spans="1:20" x14ac:dyDescent="0.35">
      <c r="B7" s="1" t="str">
        <f ca="1">HYPERLINK(CONCATENATE("#",CELL("address",$A$152)),$A$152)</f>
        <v>Standard Roof (100 qty 1x1m panels, 50 qty banks, 13KW, sun hits at 45degree angle)</v>
      </c>
      <c r="J7" s="89" t="s">
        <v>0</v>
      </c>
      <c r="K7" s="1" t="str">
        <f ca="1">HYPERLINK(CONCATENATE("#",CELL("address",$A$908)),$A$908)</f>
        <v>Semiconductor Company Simulators and Spice Models</v>
      </c>
      <c r="S7" s="89" t="s">
        <v>0</v>
      </c>
      <c r="T7" s="1" t="str">
        <f ca="1">HYPERLINK(CONCATENATE("#",CELL("address",$A$2455)),$A$2455)</f>
        <v>DESIGN: 3.3Vref and Op Amp Buffers that drive Dynamic Loads (i.e. create "3.3Vref_Buf")</v>
      </c>
    </row>
    <row r="8" spans="1:20" x14ac:dyDescent="0.35">
      <c r="B8" s="1" t="str">
        <f ca="1">HYPERLINK(CONCATENATE("#",CELL("address",$A$208)),$A$208)</f>
        <v>Mosfets with different currents</v>
      </c>
      <c r="J8" s="89" t="s">
        <v>0</v>
      </c>
      <c r="K8" s="1" t="str">
        <f ca="1">HYPERLINK(CONCATENATE("#",CELL("address",$A$932)),$A$932)</f>
        <v>TINA Example Simulations</v>
      </c>
      <c r="S8" s="89" t="s">
        <v>0</v>
      </c>
      <c r="T8" s="1" t="str">
        <f ca="1">HYPERLINK(CONCATENATE("#",CELL("address",$A$2487)),$A$2487)</f>
        <v>DESIGN: +3.3Vin to -1VDC, DC-to-DC Converter, non-isolated, regulated, 15mA output, create "-1V_APwr"</v>
      </c>
    </row>
    <row r="9" spans="1:20" x14ac:dyDescent="0.35">
      <c r="B9" s="1" t="str">
        <f ca="1">HYPERLINK(CONCATENATE("#",CELL("address",$A$218)),$A$218)</f>
        <v>Voltage drop along rectangular conductor</v>
      </c>
      <c r="J9" s="89" t="s">
        <v>0</v>
      </c>
      <c r="K9" s="1" t="str">
        <f ca="1">HYPERLINK(CONCATENATE("#",CELL("address",$A$956)),$A$956)</f>
        <v>TINA Software</v>
      </c>
      <c r="S9" s="89" t="s">
        <v>0</v>
      </c>
      <c r="T9" s="1" t="str">
        <f ca="1">HYPERLINK(CONCATENATE("#",CELL("address",$A$2506)),$A$2506)</f>
        <v>DESIGN: 5Vin to 4.3V/3.6V, DC-to-DC Converter, non-isolated, regulated, 40mA output, create "4.3V_APwr" and "3.6V_APwr"</v>
      </c>
    </row>
    <row r="10" spans="1:20" x14ac:dyDescent="0.35">
      <c r="B10" s="1" t="str">
        <f ca="1">HYPERLINK(CONCATENATE("#",CELL("address",$A$275)),$A$275)</f>
        <v>Two story solar house</v>
      </c>
      <c r="J10" s="89" t="s">
        <v>0</v>
      </c>
      <c r="K10" s="1" t="str">
        <f ca="1">HYPERLINK(CONCATENATE("#",CELL("address",$A$998)),$A$998)</f>
        <v>300W Buck Converter based on Lm5145 Buck Converter IC, Simulation</v>
      </c>
      <c r="S10" s="89" t="s">
        <v>0</v>
      </c>
      <c r="T10" s="1" t="str">
        <f ca="1">HYPERLINK(CONCATENATE("#",CELL("address",$A$2518)),$A$2518)</f>
        <v>Connector Strategy</v>
      </c>
    </row>
    <row r="11" spans="1:20" x14ac:dyDescent="0.35">
      <c r="B11" s="1" t="str">
        <f ca="1">HYPERLINK(CONCATENATE("#",CELL("address",$A$288)),$A$288)</f>
        <v>Charging Electric Cars</v>
      </c>
      <c r="J11" s="89" t="s">
        <v>0</v>
      </c>
      <c r="K11" s="1" t="str">
        <f ca="1">HYPERLINK(CONCATENATE("#",CELL("address",$A$1015)),$A$1015)</f>
        <v>300W Buck Converter based on Ucc27714 Gate Driver and Function Generator, Simulation</v>
      </c>
      <c r="S11" s="89" t="s">
        <v>0</v>
      </c>
      <c r="T11" s="1" t="str">
        <f ca="1">HYPERLINK(CONCATENATE("#",CELL("address",$A$2551)),$A$2551)</f>
        <v>Buck Converter Math</v>
      </c>
    </row>
    <row r="12" spans="1:20" x14ac:dyDescent="0.35">
      <c r="B12" s="1" t="str">
        <f ca="1">HYPERLINK(CONCATENATE("#",CELL("address",$A$323)),$A$323)</f>
        <v>2k Square foot roof using existing panels</v>
      </c>
      <c r="J12" s="89" t="s">
        <v>0</v>
      </c>
      <c r="K12" s="1" t="str">
        <f ca="1">HYPERLINK(CONCATENATE("#",CELL("address",$A$1029)),$A$1029)</f>
        <v>Mass Carbon Emissions</v>
      </c>
      <c r="S12" s="89" t="s">
        <v>0</v>
      </c>
      <c r="T12" s="1" t="str">
        <f ca="1">HYPERLINK(CONCATENATE("#",CELL("address",$A$2700)),$A$2700)</f>
        <v>Buck Converter Simulations</v>
      </c>
    </row>
    <row r="13" spans="1:20" x14ac:dyDescent="0.35">
      <c r="B13" s="1" t="str">
        <f ca="1">HYPERLINK(CONCATENATE("#",CELL("address",$A$334)),$A$334)</f>
        <v>Water Tank, Horizontal, Surrounded by foam insulation</v>
      </c>
      <c r="J13" s="89" t="s">
        <v>0</v>
      </c>
      <c r="K13" s="1" t="str">
        <f ca="1">HYPERLINK(CONCATENATE("#",CELL("address",$A$1035)),$A$1035)</f>
        <v>Carbon Emissions</v>
      </c>
      <c r="S13" s="89" t="s">
        <v>0</v>
      </c>
      <c r="T13" s="1" t="str">
        <f ca="1">HYPERLINK(CONCATENATE("#",CELL("address",$A$2707)),$A$2707)</f>
        <v>DC-to-DC Converter Input filter</v>
      </c>
    </row>
    <row r="14" spans="1:20" x14ac:dyDescent="0.35">
      <c r="B14" s="1" t="str">
        <f ca="1">HYPERLINK(CONCATENATE("#",CELL("address",$A$359)),$A$359)</f>
        <v>Heat Pump</v>
      </c>
      <c r="J14" s="89" t="s">
        <v>0</v>
      </c>
      <c r="K14" s="1" t="str">
        <f ca="1">HYPERLINK(CONCATENATE("#",CELL("address",$A$1055)),$A$1055)</f>
        <v>Electrical Components</v>
      </c>
      <c r="S14" s="89" t="s">
        <v>0</v>
      </c>
      <c r="T14" s="1" t="str">
        <f ca="1">HYPERLINK(CONCATENATE("#",CELL("address",$A$2733)),$A$2733)</f>
        <v>DC-to-DC Converter Design Trade-offs</v>
      </c>
    </row>
    <row r="15" spans="1:20" x14ac:dyDescent="0.35">
      <c r="B15" s="1" t="str">
        <f ca="1">HYPERLINK(CONCATENATE("#",CELL("address",$A$391)),$A$391)</f>
        <v>Hot Water Storage Tank</v>
      </c>
      <c r="J15" s="89" t="s">
        <v>0</v>
      </c>
      <c r="K15" s="1" t="str">
        <f ca="1">HYPERLINK(CONCATENATE("#",CELL("address",$A$1624)),$A$1624)</f>
        <v>IC Packages &amp; Footprints</v>
      </c>
      <c r="S15" s="89" t="s">
        <v>0</v>
      </c>
      <c r="T15" s="1" t="str">
        <f ca="1">HYPERLINK(CONCATENATE("#",CELL("address",$A$2748)),$A$2748)</f>
        <v>Gate Drive</v>
      </c>
    </row>
    <row r="16" spans="1:20" x14ac:dyDescent="0.35">
      <c r="B16" s="1" t="str">
        <f ca="1">HYPERLINK(CONCATENATE("#",CELL("address",$A$402)),$A$402)</f>
        <v>Electricity Policy</v>
      </c>
      <c r="J16" s="89" t="s">
        <v>0</v>
      </c>
      <c r="K16" s="1" t="str">
        <f ca="1">HYPERLINK(CONCATENATE("#",CELL("address",$A$1684)),$A$1684)</f>
        <v>Circuit Simulation Files, 300W DC-to-DC Converter</v>
      </c>
      <c r="S16" s="89" t="s">
        <v>0</v>
      </c>
      <c r="T16" s="1" t="str">
        <f ca="1">HYPERLINK(CONCATENATE("#",CELL("address",$A$2787)),$A$2787)</f>
        <v>300W Component Characteristics As Noted in Datasheets (not our design)</v>
      </c>
    </row>
    <row r="17" spans="1:23" x14ac:dyDescent="0.35">
      <c r="A17"/>
      <c r="B17" s="1" t="str">
        <f ca="1">HYPERLINK(CONCATENATE("#",CELL("address",$A$323)),$A$323)</f>
        <v>2k Square foot roof using existing panels</v>
      </c>
      <c r="J17" s="89" t="s">
        <v>0</v>
      </c>
      <c r="K17" s="1" t="str">
        <f ca="1">HYPERLINK(CONCATENATE("#",CELL("address",$A$1727)),$A$1727)</f>
        <v>Components in Version #1 300W DC-to-DC Converter</v>
      </c>
      <c r="S17" s="89" t="s">
        <v>0</v>
      </c>
      <c r="T17" s="1" t="str">
        <f ca="1">HYPERLINK(CONCATENATE("#",CELL("address",$A$2918)),$A$2918)</f>
        <v>Power and Voltage Range Strategy, one 300W converter pcb (our design)</v>
      </c>
    </row>
    <row r="18" spans="1:23" x14ac:dyDescent="0.35">
      <c r="A18"/>
      <c r="B18" s="1" t="str">
        <f ca="1">HYPERLINK(CONCATENATE("#",CELL("address",$A$408)),$A$408)</f>
        <v>Thermal Mass</v>
      </c>
      <c r="J18" s="89" t="s">
        <v>0</v>
      </c>
      <c r="K18" s="1" t="str">
        <f ca="1">HYPERLINK(CONCATENATE("#",CELL("address",$A$1976)),$A$1976)</f>
        <v>Circuit Theory, 300W DC-to-DC Converter</v>
      </c>
      <c r="S18" s="89" t="s">
        <v>0</v>
      </c>
      <c r="T18" s="1" t="str">
        <f ca="1">HYPERLINK(CONCATENATE("#",CELL("address",$A$2971)),$A$2971)</f>
        <v>Sources Of Measurement Error</v>
      </c>
    </row>
    <row r="19" spans="1:23" x14ac:dyDescent="0.35">
      <c r="B19" s="1" t="str">
        <f ca="1">HYPERLINK(CONCATENATE("#",CELL("address",$A$430)),$A$430)</f>
        <v>Materials</v>
      </c>
      <c r="J19" s="89" t="s">
        <v>0</v>
      </c>
      <c r="K19" s="1" t="str">
        <f ca="1">HYPERLINK(CONCATENATE("#",CELL("address",$A$2041)),$A$2041)</f>
        <v>Xmc4200 Processor Resources</v>
      </c>
      <c r="S19" s="89" t="s">
        <v>0</v>
      </c>
      <c r="T19" s="1" t="str">
        <f ca="1">HYPERLINK(CONCATENATE("#",CELL("address",$A$2976)),$A$2976)</f>
        <v>Current and Voltage Measurements</v>
      </c>
    </row>
    <row r="20" spans="1:23" x14ac:dyDescent="0.35">
      <c r="B20" s="1" t="str">
        <f ca="1">HYPERLINK(CONCATENATE("#",CELL("address",$A$458)),$A$458)</f>
        <v>Electricity Generation</v>
      </c>
      <c r="J20" s="89" t="s">
        <v>0</v>
      </c>
      <c r="K20" s="1" t="str">
        <f ca="1">HYPERLINK(CONCATENATE("#",CELL("address",$A$2120)),$A$2120)</f>
        <v>Prototyping</v>
      </c>
      <c r="S20" s="89" t="s">
        <v>0</v>
      </c>
      <c r="T20" s="1" t="str">
        <f ca="1">HYPERLINK(CONCATENATE("#",CELL("address",$A$3064)),$A$3064)</f>
        <v>FPGA Detects Voltage (e.g. PvVoltage &gt; 3V) and Over Voltage (e.g. PvVoltage &gt; 88V)</v>
      </c>
    </row>
    <row r="21" spans="1:23" x14ac:dyDescent="0.35">
      <c r="B21" s="1" t="str">
        <f ca="1">HYPERLINK(CONCATENATE("#",CELL("address",$A$499)),$A$499)</f>
        <v>Solar Farm</v>
      </c>
      <c r="J21" s="89" t="s">
        <v>0</v>
      </c>
      <c r="K21" s="1" t="str">
        <f ca="1">HYPERLINK(CONCATENATE("#",CELL("address",$A$2131)),$A$2131)</f>
        <v>Microprocessor Design</v>
      </c>
      <c r="S21" s="89" t="s">
        <v>0</v>
      </c>
      <c r="T21" s="1" t="str">
        <f ca="1">HYPERLINK(CONCATENATE("#",CELL("address",$A$3074)),$A$3074)</f>
        <v>Calibration System</v>
      </c>
    </row>
    <row r="22" spans="1:23" x14ac:dyDescent="0.35">
      <c r="B22" s="1" t="str">
        <f ca="1">HYPERLINK(CONCATENATE("#",CELL("address",$A$510)),$A$510)</f>
        <v>Solar Panel Materials</v>
      </c>
      <c r="J22" s="89" t="s">
        <v>0</v>
      </c>
      <c r="K22" s="1" t="str">
        <f ca="1">HYPERLINK(CONCATENATE("#",CELL("address",$A$2161)),$A$2161)</f>
        <v>Processor Pins</v>
      </c>
      <c r="S22" s="89" t="s">
        <v>0</v>
      </c>
      <c r="T22" s="1" t="str">
        <f ca="1">HYPERLINK(CONCATENATE("#",CELL("address",$A$3171)),$A$3171)</f>
        <v>MOSFET Gate Leakage Current Measurement (to predict when MOSFET will fail)</v>
      </c>
    </row>
    <row r="23" spans="1:23" x14ac:dyDescent="0.35">
      <c r="B23" s="1" t="str">
        <f ca="1">HYPERLINK(CONCATENATE("#",CELL("address",$A$533)),$A$533)</f>
        <v>Heating Up a Room</v>
      </c>
      <c r="J23" s="89" t="s">
        <v>0</v>
      </c>
      <c r="K23" s="1" t="str">
        <f ca="1">HYPERLINK(CONCATENATE("#",CELL("address",$A$2195)),$A$2195)</f>
        <v>FPGA</v>
      </c>
      <c r="S23" s="89" t="s">
        <v>0</v>
      </c>
      <c r="T23" s="1" t="str">
        <f ca="1">HYPERLINK(CONCATENATE("#",CELL("address",$A$3336)),$A$3336)</f>
        <v>NOT USED -- DESIGN: AMPLFIER &amp; MUX, Single-Ended, Measure ±30mV across Rshunt, Gain = 51, 5MHz BW, ?nSec 700KHz Sinewave delay,  60nSec Square Wave Delay</v>
      </c>
    </row>
    <row r="24" spans="1:23" x14ac:dyDescent="0.35">
      <c r="B24" s="1" t="str">
        <f ca="1">HYPERLINK(CONCATENATE("#",CELL("address",$A$549)),$A$549)</f>
        <v xml:space="preserve">Building-integrated photovoltaics (BiPV)   and   Building-applied photovoltaics (BAPV) </v>
      </c>
      <c r="J24" s="89" t="s">
        <v>0</v>
      </c>
      <c r="K24" s="1" t="str">
        <f ca="1">HYPERLINK(CONCATENATE("#",CELL("address",$A$2231)),$A$2231)</f>
        <v>4 Types of PCB's</v>
      </c>
      <c r="S24" s="89" t="s">
        <v>0</v>
      </c>
      <c r="T24" s="1" t="str">
        <f ca="1">HYPERLINK(CONCATENATE("#",CELL("address",$A$3389)),$A$3389)</f>
        <v>NOT USED -- DESIGN: Amplifier &amp; Calibration SPDT, Single-Ended, Measures -2mV to 20mV across Rshunt, Gain = 120, 5MHz BW, ?nSec 700KHz Sinewave delay,  ?nSec Square Wave Delay</v>
      </c>
    </row>
    <row r="25" spans="1:23" x14ac:dyDescent="0.35">
      <c r="B25" s="1" t="str">
        <f ca="1">HYPERLINK(CONCATENATE("#",CELL("address",$A$585)),$A$585)</f>
        <v>Solar Panels</v>
      </c>
      <c r="J25" s="89" t="s">
        <v>0</v>
      </c>
      <c r="K25" s="1" t="str">
        <f ca="1">HYPERLINK(CONCATENATE("#",CELL("address",$A$2247)),$A$2247)</f>
        <v>Communication Between Adjacent Elements -- Used during configuration to identify all 300W elements and get assign them a CANbus ID</v>
      </c>
      <c r="S25" s="89" t="s">
        <v>0</v>
      </c>
      <c r="T25" s="1" t="str">
        <f ca="1">HYPERLINK(CONCATENATE("#",CELL("address",$A$3434)),$A$3434)</f>
        <v>DESIGN: Measure High Voltage via Inverting Op-Amp (e.g. gain = 1/30)</v>
      </c>
    </row>
    <row r="26" spans="1:23" x14ac:dyDescent="0.35">
      <c r="B26" s="1" t="str">
        <f ca="1">HYPERLINK(CONCATENATE("#",CELL("address",$A$604)),$A$604)</f>
        <v>PV Solar Technology, Products, and Costs</v>
      </c>
      <c r="J26" s="89" t="s">
        <v>0</v>
      </c>
      <c r="K26" s="1" t="str">
        <f ca="1">HYPERLINK(CONCATENATE("#",CELL("address",$A$2258)),$A$2258)</f>
        <v>GatePwr (10V) AboveMe Circuit</v>
      </c>
      <c r="S26" s="89" t="s">
        <v>0</v>
      </c>
      <c r="T26" s="1" t="str">
        <f ca="1">HYPERLINK(CONCATENATE("#",CELL("address",$A$3544)),$A$3544)</f>
        <v>DESIGN: Measure Temperature via 10KΩ Thermistor</v>
      </c>
    </row>
    <row r="27" spans="1:23" x14ac:dyDescent="0.35">
      <c r="B27" s="1" t="str">
        <f ca="1">HYPERLINK(CONCATENATE("#",CELL("address",$A$667)),$A$667)</f>
        <v>Existing Converter Technology</v>
      </c>
      <c r="J27" s="89" t="s">
        <v>0</v>
      </c>
      <c r="K27" s="1" t="str">
        <f ca="1">HYPERLINK(CONCATENATE("#",CELL("address",$A$2273)),$A$2273)</f>
        <v>HiPwrOn (similar to "System Master Reset") - Optically isolated signal (Array-HiPwrOn bussed to all String_Base elements, StringN-HiPwrOn bussed to all elements in a string)</v>
      </c>
      <c r="S27" s="89" t="s">
        <v>0</v>
      </c>
      <c r="T27" s="1" t="str">
        <f>A3434</f>
        <v>DESIGN: Measure High Voltage via Inverting Op-Amp (e.g. gain = 1/30)</v>
      </c>
    </row>
    <row r="28" spans="1:23" x14ac:dyDescent="0.35">
      <c r="B28" s="1" t="str">
        <f ca="1">HYPERLINK(CONCATENATE("#",CELL("address",$A$700)),$A$700)</f>
        <v>Solar Panels</v>
      </c>
      <c r="J28" s="89" t="s">
        <v>0</v>
      </c>
      <c r="K28" s="1" t="str">
        <f ca="1">HYPERLINK(CONCATENATE("#",CELL("address",$A$2291)),$A$2291)</f>
        <v>Power Supplies for IC's (e.g. 14V, 5V, 3.3V, 2.9V)</v>
      </c>
      <c r="T28" s="1" t="str">
        <f>A3544</f>
        <v>DESIGN: Measure Temperature via 10KΩ Thermistor</v>
      </c>
    </row>
    <row r="29" spans="1:23" x14ac:dyDescent="0.35">
      <c r="B29" s="1"/>
      <c r="J29" s="89"/>
      <c r="K29" s="1"/>
      <c r="W29" s="89"/>
    </row>
    <row r="30" spans="1:23" s="88" customFormat="1" x14ac:dyDescent="0.35">
      <c r="A30" s="86" t="s">
        <v>8337</v>
      </c>
    </row>
    <row r="31" spans="1:23" x14ac:dyDescent="0.35">
      <c r="B31" s="1"/>
      <c r="J31" s="89"/>
      <c r="K31" s="1"/>
      <c r="W31" s="89"/>
    </row>
    <row r="32" spans="1:23" x14ac:dyDescent="0.35">
      <c r="B32" s="1" t="s">
        <v>8338</v>
      </c>
      <c r="J32" s="89"/>
      <c r="K32" s="1" t="s">
        <v>8341</v>
      </c>
      <c r="W32" s="89"/>
    </row>
    <row r="33" spans="1:23" x14ac:dyDescent="0.35">
      <c r="B33" s="1" t="s">
        <v>8339</v>
      </c>
      <c r="J33" s="89"/>
      <c r="K33" s="1"/>
      <c r="W33" s="89"/>
    </row>
    <row r="34" spans="1:23" x14ac:dyDescent="0.35">
      <c r="B34" s="95" t="s">
        <v>8772</v>
      </c>
      <c r="K34" t="s">
        <v>8771</v>
      </c>
    </row>
    <row r="35" spans="1:23" x14ac:dyDescent="0.35">
      <c r="B35" s="95" t="s">
        <v>8899</v>
      </c>
      <c r="K35" t="s">
        <v>8900</v>
      </c>
    </row>
    <row r="36" spans="1:23" x14ac:dyDescent="0.35">
      <c r="B36" s="95"/>
    </row>
    <row r="37" spans="1:23" s="88" customFormat="1" x14ac:dyDescent="0.35">
      <c r="A37" s="86" t="s">
        <v>607</v>
      </c>
    </row>
    <row r="39" spans="1:23" x14ac:dyDescent="0.35">
      <c r="B39" s="83" t="s">
        <v>368</v>
      </c>
      <c r="D39" s="13">
        <v>1</v>
      </c>
      <c r="E39" t="s">
        <v>369</v>
      </c>
      <c r="I39" t="s">
        <v>270</v>
      </c>
      <c r="K39" t="s">
        <v>269</v>
      </c>
      <c r="T39" t="s">
        <v>268</v>
      </c>
    </row>
    <row r="40" spans="1:23" x14ac:dyDescent="0.35">
      <c r="D40" s="13">
        <v>1</v>
      </c>
      <c r="E40" t="s">
        <v>370</v>
      </c>
      <c r="K40" t="s">
        <v>274</v>
      </c>
      <c r="T40" t="s">
        <v>273</v>
      </c>
    </row>
    <row r="41" spans="1:23" x14ac:dyDescent="0.35">
      <c r="D41">
        <f>D40*D39</f>
        <v>1</v>
      </c>
      <c r="E41" t="s">
        <v>371</v>
      </c>
      <c r="K41" t="s">
        <v>296</v>
      </c>
      <c r="T41" s="1" t="s">
        <v>295</v>
      </c>
    </row>
    <row r="42" spans="1:23" x14ac:dyDescent="0.35">
      <c r="D42">
        <f>D41*10.7</f>
        <v>10.7</v>
      </c>
      <c r="E42" t="s">
        <v>467</v>
      </c>
      <c r="K42" t="s">
        <v>583</v>
      </c>
      <c r="T42" t="s">
        <v>582</v>
      </c>
    </row>
    <row r="43" spans="1:23" x14ac:dyDescent="0.35">
      <c r="D43">
        <v>900</v>
      </c>
      <c r="E43" t="s">
        <v>373</v>
      </c>
    </row>
    <row r="44" spans="1:23" x14ac:dyDescent="0.35">
      <c r="D44" s="101">
        <v>0.215</v>
      </c>
      <c r="E44" s="4" t="s">
        <v>601</v>
      </c>
      <c r="K44" s="1" t="s">
        <v>599</v>
      </c>
    </row>
    <row r="45" spans="1:23" x14ac:dyDescent="0.35">
      <c r="C45">
        <v>6125</v>
      </c>
      <c r="D45" s="15">
        <f>D43*D44*D41</f>
        <v>193.5</v>
      </c>
      <c r="E45" t="s">
        <v>602</v>
      </c>
    </row>
    <row r="46" spans="1:23" x14ac:dyDescent="0.35">
      <c r="D46" s="15">
        <f>D45*0.707</f>
        <v>136.80449999999999</v>
      </c>
      <c r="E46" t="s">
        <v>603</v>
      </c>
    </row>
    <row r="48" spans="1:23" x14ac:dyDescent="0.35">
      <c r="B48" s="83" t="s">
        <v>585</v>
      </c>
      <c r="D48" t="s">
        <v>586</v>
      </c>
    </row>
    <row r="49" spans="2:18" x14ac:dyDescent="0.35">
      <c r="D49" t="s">
        <v>587</v>
      </c>
    </row>
    <row r="50" spans="2:18" x14ac:dyDescent="0.35">
      <c r="D50" s="53" t="s">
        <v>588</v>
      </c>
    </row>
    <row r="51" spans="2:18" x14ac:dyDescent="0.35">
      <c r="D51" s="53"/>
      <c r="R51" t="s">
        <v>599</v>
      </c>
    </row>
    <row r="52" spans="2:18" x14ac:dyDescent="0.35">
      <c r="D52">
        <v>45</v>
      </c>
      <c r="E52">
        <v>0</v>
      </c>
      <c r="F52" t="s">
        <v>584</v>
      </c>
      <c r="R52" t="s">
        <v>598</v>
      </c>
    </row>
    <row r="53" spans="2:18" x14ac:dyDescent="0.35">
      <c r="D53" s="18">
        <f>SIN((90-D52)*PI()/180)</f>
        <v>0.70710678118654746</v>
      </c>
      <c r="E53" s="94">
        <f>SIN((90-E52)*PI()/180)</f>
        <v>1</v>
      </c>
      <c r="F53" t="s">
        <v>374</v>
      </c>
      <c r="R53" t="s">
        <v>592</v>
      </c>
    </row>
    <row r="54" spans="2:18" x14ac:dyDescent="0.35">
      <c r="D54" s="15">
        <f xml:space="preserve"> D53*$D45</f>
        <v>136.82516215959694</v>
      </c>
      <c r="E54" s="15">
        <f xml:space="preserve"> E53*$D45</f>
        <v>193.5</v>
      </c>
      <c r="F54" t="s">
        <v>372</v>
      </c>
      <c r="R54" t="s">
        <v>590</v>
      </c>
    </row>
    <row r="55" spans="2:18" x14ac:dyDescent="0.35">
      <c r="D55" s="15"/>
      <c r="E55" s="15"/>
    </row>
    <row r="56" spans="2:18" x14ac:dyDescent="0.35">
      <c r="B56" s="83" t="s">
        <v>589</v>
      </c>
      <c r="D56" s="12"/>
      <c r="E56" s="100">
        <v>0.08</v>
      </c>
      <c r="F56" t="s">
        <v>600</v>
      </c>
      <c r="Q56" t="s">
        <v>604</v>
      </c>
      <c r="R56" s="1" t="s">
        <v>599</v>
      </c>
    </row>
    <row r="57" spans="2:18" x14ac:dyDescent="0.35">
      <c r="D57" s="12"/>
      <c r="E57" s="8">
        <f>E56*E54</f>
        <v>15.48</v>
      </c>
      <c r="F57" t="s">
        <v>605</v>
      </c>
    </row>
    <row r="58" spans="2:18" x14ac:dyDescent="0.35">
      <c r="D58" s="12"/>
      <c r="E58" s="8">
        <f>E57/D42</f>
        <v>1.4467289719626168</v>
      </c>
      <c r="F58" t="s">
        <v>593</v>
      </c>
    </row>
    <row r="59" spans="2:18" x14ac:dyDescent="0.35">
      <c r="D59" s="15"/>
    </row>
    <row r="60" spans="2:18" ht="15" thickBot="1" x14ac:dyDescent="0.4">
      <c r="B60" s="83" t="s">
        <v>274</v>
      </c>
      <c r="D60" s="51" t="s">
        <v>360</v>
      </c>
      <c r="E60" s="51" t="s">
        <v>359</v>
      </c>
      <c r="F60" s="52" t="s">
        <v>365</v>
      </c>
      <c r="G60" s="52" t="s">
        <v>395</v>
      </c>
    </row>
    <row r="61" spans="2:18" x14ac:dyDescent="0.35">
      <c r="B61" s="83" t="s">
        <v>453</v>
      </c>
      <c r="D61" s="20">
        <v>1</v>
      </c>
      <c r="E61">
        <v>1</v>
      </c>
      <c r="F61">
        <v>1</v>
      </c>
      <c r="I61" s="36" t="s">
        <v>366</v>
      </c>
      <c r="J61" s="35"/>
      <c r="K61" s="35"/>
    </row>
    <row r="62" spans="2:18" x14ac:dyDescent="0.35">
      <c r="B62" s="83" t="s">
        <v>454</v>
      </c>
      <c r="D62" s="27">
        <v>1.5</v>
      </c>
      <c r="E62" s="54">
        <v>1</v>
      </c>
      <c r="F62" s="54">
        <v>0.5</v>
      </c>
      <c r="I62" s="36" t="s">
        <v>58</v>
      </c>
      <c r="J62" s="36" t="s">
        <v>361</v>
      </c>
      <c r="K62" s="35"/>
      <c r="R62" t="s">
        <v>271</v>
      </c>
    </row>
    <row r="63" spans="2:18" x14ac:dyDescent="0.35">
      <c r="D63" s="20">
        <v>2800</v>
      </c>
      <c r="E63">
        <v>2300</v>
      </c>
      <c r="F63">
        <v>950</v>
      </c>
      <c r="I63" s="36" t="s">
        <v>362</v>
      </c>
      <c r="J63" s="36"/>
      <c r="K63" s="35"/>
      <c r="R63" t="s">
        <v>273</v>
      </c>
    </row>
    <row r="64" spans="2:18" x14ac:dyDescent="0.35">
      <c r="D64" s="30">
        <v>2.2000000000000002</v>
      </c>
      <c r="E64" s="8">
        <v>2.35</v>
      </c>
      <c r="F64" s="8">
        <v>1</v>
      </c>
      <c r="I64" s="36" t="s">
        <v>272</v>
      </c>
      <c r="J64" s="36"/>
      <c r="K64" s="35"/>
      <c r="R64" t="s">
        <v>273</v>
      </c>
    </row>
    <row r="65" spans="1:18" x14ac:dyDescent="0.35">
      <c r="D65" s="27">
        <f>D62*D61*D63/1000</f>
        <v>4.2</v>
      </c>
      <c r="E65" s="27">
        <f>E62*E61*E63/1000</f>
        <v>2.2999999999999998</v>
      </c>
      <c r="F65" s="27">
        <f>F62*F61*F63/1000</f>
        <v>0.47499999999999998</v>
      </c>
      <c r="I65" s="36" t="s">
        <v>363</v>
      </c>
      <c r="J65" s="36"/>
      <c r="K65" s="35"/>
    </row>
    <row r="66" spans="1:18" x14ac:dyDescent="0.35">
      <c r="D66" s="20">
        <v>3</v>
      </c>
      <c r="E66">
        <v>1</v>
      </c>
      <c r="F66">
        <v>2</v>
      </c>
      <c r="I66" s="36" t="s">
        <v>375</v>
      </c>
      <c r="J66" s="36"/>
      <c r="K66" s="35"/>
    </row>
    <row r="67" spans="1:18" x14ac:dyDescent="0.35">
      <c r="B67" s="87"/>
      <c r="D67" s="28">
        <f>D62/D66</f>
        <v>0.5</v>
      </c>
      <c r="E67" s="28">
        <f>E62/E66</f>
        <v>1</v>
      </c>
      <c r="F67" s="28">
        <f>F62/F66</f>
        <v>0.25</v>
      </c>
      <c r="I67" s="36" t="s">
        <v>58</v>
      </c>
      <c r="J67" s="36" t="s">
        <v>364</v>
      </c>
      <c r="K67" s="35"/>
    </row>
    <row r="68" spans="1:18" x14ac:dyDescent="0.35">
      <c r="D68" s="30">
        <f>D65*D64</f>
        <v>9.240000000000002</v>
      </c>
      <c r="E68" s="30">
        <f>E65*E64</f>
        <v>5.4049999999999994</v>
      </c>
      <c r="F68" s="30">
        <f>F65*F64</f>
        <v>0.47499999999999998</v>
      </c>
      <c r="G68" s="8">
        <f>E57</f>
        <v>15.48</v>
      </c>
      <c r="I68" s="36" t="s">
        <v>394</v>
      </c>
      <c r="J68" s="36"/>
      <c r="K68" s="35"/>
      <c r="R68" t="s">
        <v>396</v>
      </c>
    </row>
    <row r="70" spans="1:18" x14ac:dyDescent="0.35">
      <c r="D70" s="30"/>
      <c r="E70" s="30"/>
      <c r="G70" s="9">
        <f>SUM(D68:I68)</f>
        <v>30.6</v>
      </c>
      <c r="I70" s="36" t="s">
        <v>415</v>
      </c>
      <c r="J70" s="35"/>
    </row>
    <row r="71" spans="1:18" x14ac:dyDescent="0.35">
      <c r="D71" s="30"/>
      <c r="E71" s="30"/>
      <c r="G71" s="9">
        <f>G70/D54</f>
        <v>0.22364307497993133</v>
      </c>
      <c r="H71" s="36"/>
      <c r="I71" s="36" t="s">
        <v>397</v>
      </c>
      <c r="J71" s="35"/>
    </row>
    <row r="72" spans="1:18" x14ac:dyDescent="0.35">
      <c r="F72" s="44"/>
      <c r="G72" s="7"/>
      <c r="H72" s="45"/>
      <c r="I72" s="43"/>
      <c r="J72" s="44"/>
      <c r="K72" s="15"/>
      <c r="L72" s="49"/>
    </row>
    <row r="73" spans="1:18" s="88" customFormat="1" x14ac:dyDescent="0.35">
      <c r="A73" s="86" t="s">
        <v>407</v>
      </c>
    </row>
    <row r="74" spans="1:18" x14ac:dyDescent="0.35">
      <c r="F74" s="44"/>
      <c r="G74" s="7"/>
      <c r="H74" s="45"/>
      <c r="I74" s="43"/>
      <c r="J74" s="44"/>
      <c r="K74" s="15"/>
      <c r="L74" s="49"/>
    </row>
    <row r="75" spans="1:18" x14ac:dyDescent="0.35">
      <c r="D75" s="66" t="s">
        <v>390</v>
      </c>
      <c r="E75" s="66" t="s">
        <v>391</v>
      </c>
      <c r="F75" s="44"/>
      <c r="G75" s="7"/>
      <c r="H75" s="45"/>
      <c r="I75" s="43"/>
      <c r="J75" s="44"/>
      <c r="K75" s="15"/>
      <c r="L75" s="49"/>
    </row>
    <row r="76" spans="1:18" ht="15" thickBot="1" x14ac:dyDescent="0.4">
      <c r="D76" s="67" t="s">
        <v>443</v>
      </c>
      <c r="E76" s="67" t="s">
        <v>442</v>
      </c>
      <c r="F76" s="44"/>
      <c r="G76" s="7"/>
      <c r="H76" s="45"/>
      <c r="I76" s="43"/>
      <c r="J76" s="44"/>
      <c r="K76" s="15"/>
      <c r="L76" s="49"/>
    </row>
    <row r="77" spans="1:18" x14ac:dyDescent="0.35">
      <c r="B77" s="83" t="s">
        <v>378</v>
      </c>
      <c r="D77" s="68" t="s">
        <v>382</v>
      </c>
      <c r="E77" s="68" t="s">
        <v>383</v>
      </c>
      <c r="G77" t="s">
        <v>381</v>
      </c>
      <c r="K77" s="1" t="s">
        <v>377</v>
      </c>
      <c r="L77" s="49"/>
    </row>
    <row r="78" spans="1:18" x14ac:dyDescent="0.35">
      <c r="D78" s="29">
        <v>6.0000000000000001E-3</v>
      </c>
      <c r="F78" s="44" t="s">
        <v>40</v>
      </c>
      <c r="G78" t="s">
        <v>367</v>
      </c>
      <c r="H78" s="45"/>
      <c r="I78" s="43"/>
      <c r="J78" s="44"/>
      <c r="K78" s="1" t="s">
        <v>379</v>
      </c>
      <c r="L78" s="49"/>
    </row>
    <row r="79" spans="1:18" x14ac:dyDescent="0.35">
      <c r="D79" s="29"/>
      <c r="E79">
        <v>1.5</v>
      </c>
      <c r="F79" s="44" t="s">
        <v>39</v>
      </c>
      <c r="G79" t="s">
        <v>380</v>
      </c>
      <c r="H79" s="45"/>
      <c r="I79" s="43"/>
      <c r="J79" s="44"/>
      <c r="K79" s="15"/>
      <c r="L79" s="49"/>
    </row>
    <row r="80" spans="1:18" x14ac:dyDescent="0.35">
      <c r="D80" s="30">
        <v>0.35</v>
      </c>
      <c r="E80" s="8">
        <v>0.5</v>
      </c>
      <c r="F80" t="s">
        <v>385</v>
      </c>
      <c r="G80" t="s">
        <v>384</v>
      </c>
      <c r="H80" s="45"/>
      <c r="I80" s="43"/>
      <c r="J80" s="44"/>
      <c r="K80" s="15"/>
      <c r="L80" s="49"/>
    </row>
    <row r="81" spans="1:17" x14ac:dyDescent="0.35">
      <c r="D81" s="8" t="s">
        <v>446</v>
      </c>
      <c r="E81" s="8" t="s">
        <v>447</v>
      </c>
      <c r="G81" t="s">
        <v>294</v>
      </c>
      <c r="H81" s="45"/>
      <c r="I81" s="43"/>
      <c r="J81" s="44"/>
      <c r="K81" s="15"/>
      <c r="L81" s="49"/>
    </row>
    <row r="82" spans="1:17" x14ac:dyDescent="0.35">
      <c r="D82" s="69">
        <f>0.005*0.006</f>
        <v>3.0000000000000001E-5</v>
      </c>
      <c r="E82" s="69">
        <f>0.01*0.007</f>
        <v>7.0000000000000007E-5</v>
      </c>
      <c r="F82" t="s">
        <v>448</v>
      </c>
      <c r="G82" t="s">
        <v>449</v>
      </c>
      <c r="H82" s="45"/>
      <c r="I82" s="43"/>
      <c r="J82" s="44"/>
      <c r="K82" s="15"/>
      <c r="L82" s="49"/>
    </row>
    <row r="83" spans="1:17" s="2" customFormat="1" x14ac:dyDescent="0.35">
      <c r="A83" s="90"/>
      <c r="B83" s="85"/>
    </row>
    <row r="84" spans="1:17" s="2" customFormat="1" x14ac:dyDescent="0.35">
      <c r="A84" s="90"/>
      <c r="B84" s="85"/>
      <c r="D84" s="66" t="s">
        <v>390</v>
      </c>
      <c r="E84" s="66" t="s">
        <v>391</v>
      </c>
    </row>
    <row r="85" spans="1:17" s="2" customFormat="1" ht="15" thickBot="1" x14ac:dyDescent="0.4">
      <c r="A85" s="90"/>
      <c r="B85" s="85"/>
      <c r="D85" s="67" t="s">
        <v>443</v>
      </c>
      <c r="E85" s="67" t="s">
        <v>442</v>
      </c>
      <c r="L85" s="102" t="s">
        <v>39</v>
      </c>
      <c r="M85" s="102"/>
      <c r="N85" s="102"/>
      <c r="O85" s="102" t="s">
        <v>4</v>
      </c>
      <c r="P85" s="102"/>
      <c r="Q85" s="103" t="s">
        <v>5</v>
      </c>
    </row>
    <row r="86" spans="1:17" s="2" customFormat="1" x14ac:dyDescent="0.35">
      <c r="A86" s="90"/>
      <c r="B86" s="85" t="s">
        <v>386</v>
      </c>
      <c r="D86" s="2">
        <v>7</v>
      </c>
      <c r="E86" s="2">
        <v>1</v>
      </c>
      <c r="G86" s="2" t="s">
        <v>387</v>
      </c>
      <c r="L86" s="2">
        <v>0.6</v>
      </c>
      <c r="M86" s="71">
        <f t="shared" ref="M86:M90" si="0">M87/2</f>
        <v>1.0689465793718511</v>
      </c>
      <c r="Q86" s="105">
        <f>M86/L86</f>
        <v>1.7815776322864185</v>
      </c>
    </row>
    <row r="87" spans="1:17" s="2" customFormat="1" x14ac:dyDescent="0.35">
      <c r="A87" s="90"/>
      <c r="B87" s="85"/>
      <c r="D87" s="2">
        <v>1</v>
      </c>
      <c r="E87" s="2">
        <v>4</v>
      </c>
      <c r="G87" s="2" t="s">
        <v>388</v>
      </c>
      <c r="L87" s="2">
        <f>L86*2</f>
        <v>1.2</v>
      </c>
      <c r="M87" s="71">
        <f t="shared" si="0"/>
        <v>2.1378931587437022</v>
      </c>
      <c r="Q87" s="105">
        <f t="shared" ref="Q87:Q92" si="1">M87/L87</f>
        <v>1.7815776322864185</v>
      </c>
    </row>
    <row r="88" spans="1:17" s="2" customFormat="1" x14ac:dyDescent="0.35">
      <c r="A88" s="90"/>
      <c r="B88" s="85"/>
      <c r="D88" s="2">
        <f>D87*D86</f>
        <v>7</v>
      </c>
      <c r="E88" s="2">
        <f>E87*E86</f>
        <v>4</v>
      </c>
      <c r="G88" s="2" t="s">
        <v>389</v>
      </c>
      <c r="L88" s="2">
        <f t="shared" ref="L88:L92" si="2">L87*2</f>
        <v>2.4</v>
      </c>
      <c r="M88" s="71">
        <f t="shared" si="0"/>
        <v>4.2757863174874045</v>
      </c>
      <c r="Q88" s="105">
        <f t="shared" si="1"/>
        <v>1.7815776322864185</v>
      </c>
    </row>
    <row r="89" spans="1:17" s="2" customFormat="1" x14ac:dyDescent="0.35">
      <c r="A89" s="90"/>
      <c r="B89" s="85"/>
      <c r="L89" s="2">
        <f t="shared" si="2"/>
        <v>4.8</v>
      </c>
      <c r="M89" s="71">
        <f t="shared" si="0"/>
        <v>8.5515726349748089</v>
      </c>
      <c r="Q89" s="105">
        <f t="shared" si="1"/>
        <v>1.7815776322864185</v>
      </c>
    </row>
    <row r="90" spans="1:17" x14ac:dyDescent="0.35">
      <c r="D90" s="20">
        <f>7</f>
        <v>7</v>
      </c>
      <c r="E90">
        <v>7</v>
      </c>
      <c r="G90" t="s">
        <v>392</v>
      </c>
      <c r="L90" s="2">
        <f t="shared" si="2"/>
        <v>9.6</v>
      </c>
      <c r="M90" s="71">
        <f t="shared" si="0"/>
        <v>17.103145269949618</v>
      </c>
      <c r="Q90" s="105">
        <f t="shared" si="1"/>
        <v>1.7815776322864185</v>
      </c>
    </row>
    <row r="91" spans="1:17" x14ac:dyDescent="0.35">
      <c r="D91" s="20">
        <f>D90*SUM(D95*D96)</f>
        <v>49</v>
      </c>
      <c r="E91" s="20">
        <f>E90*SUM(E95*E96)</f>
        <v>28</v>
      </c>
      <c r="G91" t="s">
        <v>445</v>
      </c>
      <c r="L91" s="2">
        <f t="shared" si="2"/>
        <v>19.2</v>
      </c>
      <c r="M91" s="71">
        <f>M92/2</f>
        <v>34.206290539899236</v>
      </c>
      <c r="Q91" s="105">
        <f t="shared" si="1"/>
        <v>1.7815776322864185</v>
      </c>
    </row>
    <row r="92" spans="1:17" x14ac:dyDescent="0.35">
      <c r="D92" s="20"/>
      <c r="E92" s="20"/>
      <c r="L92" s="2">
        <f t="shared" si="2"/>
        <v>38.4</v>
      </c>
      <c r="M92" s="71">
        <f>D54/2</f>
        <v>68.412581079798471</v>
      </c>
      <c r="Q92" s="105">
        <f t="shared" si="1"/>
        <v>1.7815776322864185</v>
      </c>
    </row>
    <row r="93" spans="1:17" x14ac:dyDescent="0.35">
      <c r="D93" s="30">
        <f>D80*D91</f>
        <v>17.149999999999999</v>
      </c>
      <c r="E93" s="30">
        <f>E80*E91</f>
        <v>14</v>
      </c>
      <c r="G93" t="s">
        <v>393</v>
      </c>
      <c r="Q93" s="104"/>
    </row>
    <row r="94" spans="1:17" x14ac:dyDescent="0.35">
      <c r="D94" s="20"/>
      <c r="L94" s="2">
        <f>L92*2</f>
        <v>76.8</v>
      </c>
      <c r="M94" s="70">
        <v>25</v>
      </c>
      <c r="N94">
        <v>25</v>
      </c>
      <c r="O94">
        <v>25</v>
      </c>
      <c r="P94">
        <v>25</v>
      </c>
      <c r="Q94" s="104"/>
    </row>
    <row r="95" spans="1:17" x14ac:dyDescent="0.35">
      <c r="B95" s="83" t="s">
        <v>422</v>
      </c>
      <c r="D95" s="20">
        <v>1</v>
      </c>
      <c r="E95">
        <v>4</v>
      </c>
      <c r="G95" t="s">
        <v>402</v>
      </c>
    </row>
    <row r="96" spans="1:17" x14ac:dyDescent="0.35">
      <c r="D96">
        <v>7</v>
      </c>
      <c r="E96">
        <v>1</v>
      </c>
      <c r="G96" t="s">
        <v>399</v>
      </c>
    </row>
    <row r="97" spans="2:17" x14ac:dyDescent="0.35">
      <c r="O97" s="76">
        <f>76*0.3</f>
        <v>22.8</v>
      </c>
      <c r="P97" s="76"/>
      <c r="Q97" s="76">
        <f>110*1.414</f>
        <v>155.54</v>
      </c>
    </row>
    <row r="98" spans="2:17" x14ac:dyDescent="0.35">
      <c r="D98" s="28">
        <f>D54/D99</f>
        <v>1.8003310810473281</v>
      </c>
      <c r="E98" s="44">
        <f>D98</f>
        <v>1.8003310810473281</v>
      </c>
      <c r="F98" t="s">
        <v>5</v>
      </c>
      <c r="G98" t="s">
        <v>398</v>
      </c>
      <c r="O98" s="76"/>
      <c r="P98" s="76"/>
      <c r="Q98" s="76">
        <f>Q97/2</f>
        <v>77.77</v>
      </c>
    </row>
    <row r="99" spans="2:17" x14ac:dyDescent="0.35">
      <c r="D99" s="27">
        <v>76</v>
      </c>
      <c r="E99" s="54">
        <f>D99</f>
        <v>76</v>
      </c>
      <c r="G99" t="s">
        <v>421</v>
      </c>
    </row>
    <row r="100" spans="2:17" x14ac:dyDescent="0.35">
      <c r="D100" s="12">
        <f>D98/D95</f>
        <v>1.8003310810473281</v>
      </c>
      <c r="E100" s="12">
        <f>E98/E95</f>
        <v>0.45008277026183202</v>
      </c>
      <c r="F100" t="s">
        <v>38</v>
      </c>
      <c r="G100" t="s">
        <v>403</v>
      </c>
    </row>
    <row r="102" spans="2:17" x14ac:dyDescent="0.35">
      <c r="B102" s="85" t="s">
        <v>292</v>
      </c>
      <c r="D102" s="61">
        <f>D96*D78*2</f>
        <v>8.4000000000000005E-2</v>
      </c>
      <c r="E102">
        <v>0</v>
      </c>
      <c r="F102" t="s">
        <v>40</v>
      </c>
      <c r="G102" t="s">
        <v>410</v>
      </c>
    </row>
    <row r="103" spans="2:17" x14ac:dyDescent="0.35">
      <c r="D103" s="44">
        <f>D102*D100</f>
        <v>0.15122781080797557</v>
      </c>
      <c r="E103" s="12">
        <f>E79</f>
        <v>1.5</v>
      </c>
      <c r="G103" t="s">
        <v>400</v>
      </c>
    </row>
    <row r="104" spans="2:17" x14ac:dyDescent="0.35">
      <c r="D104" s="28">
        <f>D103*D100</f>
        <v>0.27226012811634348</v>
      </c>
      <c r="E104" s="12">
        <f>E103*E100*E95</f>
        <v>2.7004966215709922</v>
      </c>
      <c r="F104" t="s">
        <v>264</v>
      </c>
      <c r="G104" t="s">
        <v>404</v>
      </c>
    </row>
    <row r="105" spans="2:17" x14ac:dyDescent="0.35">
      <c r="D105" s="60">
        <f>D104/$D$54</f>
        <v>1.9898396158944155E-3</v>
      </c>
      <c r="E105" s="35">
        <f>E104/$D$54</f>
        <v>1.9736842105263157E-2</v>
      </c>
    </row>
    <row r="106" spans="2:17" x14ac:dyDescent="0.35">
      <c r="D106" s="60"/>
      <c r="E106" s="35"/>
    </row>
    <row r="107" spans="2:17" x14ac:dyDescent="0.35">
      <c r="B107" s="83" t="s">
        <v>444</v>
      </c>
      <c r="D107">
        <f>D82*D91</f>
        <v>1.47E-3</v>
      </c>
      <c r="E107">
        <f>E82*E91</f>
        <v>1.9600000000000004E-3</v>
      </c>
      <c r="F107" t="s">
        <v>448</v>
      </c>
      <c r="G107" t="s">
        <v>450</v>
      </c>
    </row>
    <row r="109" spans="2:17" x14ac:dyDescent="0.35">
      <c r="B109" s="83" t="s">
        <v>36</v>
      </c>
      <c r="D109" s="22">
        <v>2.8200000000000001E-8</v>
      </c>
      <c r="F109" t="s">
        <v>282</v>
      </c>
      <c r="G109" t="s">
        <v>281</v>
      </c>
      <c r="J109" t="s">
        <v>280</v>
      </c>
      <c r="M109" t="s">
        <v>279</v>
      </c>
    </row>
    <row r="110" spans="2:17" x14ac:dyDescent="0.35">
      <c r="B110" s="83" t="s">
        <v>455</v>
      </c>
    </row>
    <row r="111" spans="2:17" x14ac:dyDescent="0.35">
      <c r="B111" s="83" t="s">
        <v>456</v>
      </c>
      <c r="D111" s="38" t="s">
        <v>275</v>
      </c>
      <c r="E111" s="38" t="s">
        <v>276</v>
      </c>
      <c r="F111" s="38" t="s">
        <v>285</v>
      </c>
      <c r="G111" s="40" t="s">
        <v>3</v>
      </c>
      <c r="H111" s="38" t="s">
        <v>284</v>
      </c>
      <c r="I111" s="38" t="s">
        <v>288</v>
      </c>
      <c r="J111" s="38" t="s">
        <v>277</v>
      </c>
      <c r="K111" s="38" t="s">
        <v>291</v>
      </c>
      <c r="L111" s="46" t="s">
        <v>292</v>
      </c>
    </row>
    <row r="112" spans="2:17" ht="15" thickBot="1" x14ac:dyDescent="0.4">
      <c r="D112" s="39" t="s">
        <v>283</v>
      </c>
      <c r="E112" s="39" t="s">
        <v>283</v>
      </c>
      <c r="F112" s="39" t="s">
        <v>286</v>
      </c>
      <c r="G112" s="41" t="s">
        <v>278</v>
      </c>
      <c r="H112" s="39" t="s">
        <v>287</v>
      </c>
      <c r="I112" s="39" t="s">
        <v>289</v>
      </c>
      <c r="J112" s="39" t="s">
        <v>290</v>
      </c>
      <c r="K112" s="39" t="s">
        <v>290</v>
      </c>
      <c r="L112" s="47" t="s">
        <v>293</v>
      </c>
    </row>
    <row r="113" spans="1:12" x14ac:dyDescent="0.35">
      <c r="D113">
        <v>4</v>
      </c>
      <c r="E113" s="12">
        <v>0.05</v>
      </c>
      <c r="F113" s="44">
        <f>D67</f>
        <v>0.5</v>
      </c>
      <c r="G113" s="42">
        <v>10</v>
      </c>
      <c r="H113" s="45">
        <f>E113*F113/1000</f>
        <v>2.5000000000000001E-5</v>
      </c>
      <c r="I113" s="43">
        <f>1000*$D$109*D113/H113</f>
        <v>4.5119999999999996</v>
      </c>
      <c r="J113" s="44">
        <f>(G113^2)*I113/1000</f>
        <v>0.45119999999999993</v>
      </c>
      <c r="K113" s="15">
        <f>J113*$D$155</f>
        <v>45.11999999999999</v>
      </c>
      <c r="L113" s="49">
        <f>0.01*K113/$D$168</f>
        <v>3.2976390663707516E-3</v>
      </c>
    </row>
    <row r="114" spans="1:12" x14ac:dyDescent="0.35">
      <c r="D114">
        <v>4</v>
      </c>
      <c r="E114" s="12">
        <v>0.3</v>
      </c>
      <c r="F114" s="44">
        <f>F113</f>
        <v>0.5</v>
      </c>
      <c r="G114" s="174">
        <v>32</v>
      </c>
      <c r="H114" s="45">
        <f>E114*F114/1000</f>
        <v>1.4999999999999999E-4</v>
      </c>
      <c r="I114" s="43">
        <f>1000*$D$109*D114/H114</f>
        <v>0.75200000000000011</v>
      </c>
      <c r="J114" s="44">
        <f>(G114^2)*I114/1000</f>
        <v>0.77004800000000007</v>
      </c>
      <c r="K114" s="15">
        <f>J114*$D$155</f>
        <v>77.004800000000003</v>
      </c>
      <c r="L114" s="49">
        <f>0.01*K114/$D$168</f>
        <v>5.6279706732727504E-3</v>
      </c>
    </row>
    <row r="115" spans="1:12" x14ac:dyDescent="0.35">
      <c r="D115" s="27"/>
    </row>
    <row r="116" spans="1:12" s="88" customFormat="1" x14ac:dyDescent="0.35">
      <c r="A116" s="86" t="s">
        <v>433</v>
      </c>
    </row>
    <row r="117" spans="1:12" x14ac:dyDescent="0.35">
      <c r="D117" s="27"/>
    </row>
    <row r="118" spans="1:12" x14ac:dyDescent="0.35">
      <c r="B118" s="83" t="s">
        <v>423</v>
      </c>
      <c r="D118" s="66" t="s">
        <v>390</v>
      </c>
      <c r="E118" s="66" t="s">
        <v>391</v>
      </c>
    </row>
    <row r="119" spans="1:12" ht="15" thickBot="1" x14ac:dyDescent="0.4">
      <c r="B119" s="83" t="s">
        <v>440</v>
      </c>
      <c r="D119" s="67" t="s">
        <v>443</v>
      </c>
      <c r="E119" s="67" t="s">
        <v>442</v>
      </c>
    </row>
    <row r="120" spans="1:12" x14ac:dyDescent="0.35">
      <c r="B120" s="83" t="s">
        <v>441</v>
      </c>
      <c r="D120" s="20">
        <v>1</v>
      </c>
      <c r="E120">
        <v>1</v>
      </c>
      <c r="G120" t="s">
        <v>434</v>
      </c>
    </row>
    <row r="121" spans="1:12" x14ac:dyDescent="0.35">
      <c r="D121" s="12">
        <f>D120*D98</f>
        <v>1.8003310810473281</v>
      </c>
      <c r="E121" s="12">
        <f>E120*E98</f>
        <v>1.8003310810473281</v>
      </c>
      <c r="F121" t="s">
        <v>38</v>
      </c>
      <c r="G121" t="s">
        <v>0</v>
      </c>
    </row>
    <row r="122" spans="1:12" x14ac:dyDescent="0.35">
      <c r="D122" s="27">
        <f>D120*D104</f>
        <v>0.27226012811634348</v>
      </c>
      <c r="E122" s="27">
        <f>E120*E104</f>
        <v>2.7004966215709922</v>
      </c>
      <c r="F122" t="s">
        <v>264</v>
      </c>
      <c r="G122" t="s">
        <v>435</v>
      </c>
    </row>
    <row r="123" spans="1:12" x14ac:dyDescent="0.35">
      <c r="D123" s="20">
        <f>D120*$D$54</f>
        <v>136.82516215959694</v>
      </c>
      <c r="E123" s="20">
        <f>E120*$D$54</f>
        <v>136.82516215959694</v>
      </c>
      <c r="F123" t="s">
        <v>264</v>
      </c>
      <c r="G123" t="s">
        <v>436</v>
      </c>
    </row>
    <row r="124" spans="1:12" x14ac:dyDescent="0.35">
      <c r="D124" s="35">
        <f>D122/D123</f>
        <v>1.9898396158944155E-3</v>
      </c>
      <c r="E124" s="35">
        <f>E122/E123</f>
        <v>1.9736842105263157E-2</v>
      </c>
      <c r="G124" t="s">
        <v>401</v>
      </c>
    </row>
    <row r="125" spans="1:12" x14ac:dyDescent="0.35">
      <c r="D125" s="30">
        <f>D93*D120</f>
        <v>17.149999999999999</v>
      </c>
      <c r="E125" s="30">
        <f>E93*E120</f>
        <v>14</v>
      </c>
      <c r="F125" t="s">
        <v>385</v>
      </c>
      <c r="G125" t="s">
        <v>437</v>
      </c>
    </row>
    <row r="126" spans="1:12" x14ac:dyDescent="0.35">
      <c r="D126" s="20"/>
      <c r="E126" s="20"/>
    </row>
    <row r="127" spans="1:12" x14ac:dyDescent="0.35">
      <c r="D127" s="20"/>
      <c r="E127" s="20"/>
      <c r="G127" s="9">
        <f>SUM(D125:E125)</f>
        <v>31.15</v>
      </c>
      <c r="H127" t="s">
        <v>385</v>
      </c>
      <c r="I127" t="s">
        <v>438</v>
      </c>
    </row>
    <row r="128" spans="1:12" x14ac:dyDescent="0.35">
      <c r="D128" s="20"/>
      <c r="G128" s="48">
        <f>SUM(D123:E123)</f>
        <v>273.65032431919389</v>
      </c>
      <c r="H128" t="s">
        <v>264</v>
      </c>
      <c r="I128" t="s">
        <v>439</v>
      </c>
    </row>
    <row r="129" spans="2:9" x14ac:dyDescent="0.35">
      <c r="D129" s="20"/>
      <c r="G129" s="54">
        <f>SUM(D122:E122)</f>
        <v>2.9727567496873357</v>
      </c>
      <c r="H129" t="s">
        <v>264</v>
      </c>
      <c r="I129" t="s">
        <v>405</v>
      </c>
    </row>
    <row r="130" spans="2:9" x14ac:dyDescent="0.35">
      <c r="D130" s="20"/>
      <c r="G130" s="36">
        <f>G129/G128</f>
        <v>1.0863340860578786E-2</v>
      </c>
      <c r="I130" t="s">
        <v>406</v>
      </c>
    </row>
    <row r="131" spans="2:9" x14ac:dyDescent="0.35">
      <c r="D131" s="20"/>
      <c r="G131" s="31">
        <f>SUM(D120:E120)</f>
        <v>2</v>
      </c>
      <c r="I131" t="s">
        <v>460</v>
      </c>
    </row>
    <row r="132" spans="2:9" x14ac:dyDescent="0.35">
      <c r="D132" s="20"/>
      <c r="G132" s="72">
        <f>1/G131</f>
        <v>0.5</v>
      </c>
      <c r="I132" t="s">
        <v>461</v>
      </c>
    </row>
    <row r="133" spans="2:9" x14ac:dyDescent="0.35">
      <c r="D133" s="20"/>
      <c r="G133" s="72"/>
    </row>
    <row r="134" spans="2:9" x14ac:dyDescent="0.35">
      <c r="D134" s="20"/>
      <c r="F134" s="66" t="s">
        <v>1701</v>
      </c>
      <c r="G134" s="66" t="s">
        <v>1705</v>
      </c>
    </row>
    <row r="135" spans="2:9" ht="15" thickBot="1" x14ac:dyDescent="0.4">
      <c r="B135" s="83" t="s">
        <v>1700</v>
      </c>
      <c r="D135" s="20"/>
      <c r="F135" s="67" t="s">
        <v>1700</v>
      </c>
      <c r="G135" s="67" t="s">
        <v>1700</v>
      </c>
    </row>
    <row r="136" spans="2:9" x14ac:dyDescent="0.35">
      <c r="C136" t="s">
        <v>37</v>
      </c>
      <c r="D136" s="20"/>
      <c r="E136" t="s">
        <v>351</v>
      </c>
      <c r="F136">
        <v>8</v>
      </c>
      <c r="G136">
        <v>3</v>
      </c>
    </row>
    <row r="137" spans="2:9" x14ac:dyDescent="0.35">
      <c r="C137" t="s">
        <v>353</v>
      </c>
      <c r="D137" s="20"/>
      <c r="E137" t="s">
        <v>351</v>
      </c>
      <c r="F137">
        <v>35</v>
      </c>
      <c r="G137">
        <v>30</v>
      </c>
    </row>
    <row r="138" spans="2:9" x14ac:dyDescent="0.35">
      <c r="C138" t="s">
        <v>1702</v>
      </c>
      <c r="D138" s="20"/>
      <c r="E138" t="s">
        <v>520</v>
      </c>
      <c r="F138">
        <f>F137*F136</f>
        <v>280</v>
      </c>
      <c r="G138">
        <f>G137*G136</f>
        <v>90</v>
      </c>
    </row>
    <row r="139" spans="2:9" x14ac:dyDescent="0.35">
      <c r="C139" t="s">
        <v>1703</v>
      </c>
      <c r="D139" s="20"/>
      <c r="E139" t="s">
        <v>448</v>
      </c>
      <c r="F139" s="15">
        <f>F138/10.76</f>
        <v>26.022304832713754</v>
      </c>
      <c r="G139" s="15">
        <f>G138/10.76</f>
        <v>8.3643122676579935</v>
      </c>
    </row>
    <row r="140" spans="2:9" x14ac:dyDescent="0.35">
      <c r="C140" t="s">
        <v>1704</v>
      </c>
      <c r="D140" s="20"/>
      <c r="E140" t="s">
        <v>264</v>
      </c>
      <c r="F140" s="15">
        <f>F139*$D46</f>
        <v>3559.9684014869886</v>
      </c>
      <c r="G140" s="15">
        <f>G139*$D46</f>
        <v>1144.2755576208178</v>
      </c>
    </row>
    <row r="141" spans="2:9" x14ac:dyDescent="0.35">
      <c r="C141" t="s">
        <v>64</v>
      </c>
      <c r="D141" s="20"/>
      <c r="E141" t="s">
        <v>39</v>
      </c>
      <c r="F141" s="15">
        <v>110</v>
      </c>
      <c r="G141" s="15">
        <v>240</v>
      </c>
    </row>
    <row r="142" spans="2:9" x14ac:dyDescent="0.35">
      <c r="C142" t="s">
        <v>3</v>
      </c>
      <c r="D142" s="20"/>
      <c r="E142" t="s">
        <v>5</v>
      </c>
      <c r="F142" s="15">
        <f>F140/F141</f>
        <v>32.363349104427172</v>
      </c>
      <c r="G142" s="15">
        <f>G140/G141</f>
        <v>4.7678148234200739</v>
      </c>
    </row>
    <row r="143" spans="2:9" x14ac:dyDescent="0.35">
      <c r="D143" s="20"/>
      <c r="G143" s="72"/>
    </row>
    <row r="144" spans="2:9" x14ac:dyDescent="0.35">
      <c r="D144" s="20"/>
      <c r="G144" s="36"/>
    </row>
    <row r="145" spans="1:7" s="88" customFormat="1" x14ac:dyDescent="0.35">
      <c r="A145" s="86" t="s">
        <v>420</v>
      </c>
    </row>
    <row r="146" spans="1:7" x14ac:dyDescent="0.35">
      <c r="D146" s="20"/>
      <c r="G146" s="36"/>
    </row>
    <row r="147" spans="1:7" x14ac:dyDescent="0.35">
      <c r="B147" s="83" t="s">
        <v>416</v>
      </c>
      <c r="D147" s="30">
        <v>10</v>
      </c>
      <c r="F147" t="s">
        <v>385</v>
      </c>
      <c r="G147" s="36" t="s">
        <v>417</v>
      </c>
    </row>
    <row r="148" spans="1:7" x14ac:dyDescent="0.35">
      <c r="D148" s="30">
        <v>10</v>
      </c>
      <c r="F148" t="s">
        <v>385</v>
      </c>
      <c r="G148" s="36" t="s">
        <v>418</v>
      </c>
    </row>
    <row r="149" spans="1:7" ht="15" thickBot="1" x14ac:dyDescent="0.4">
      <c r="D149" s="59">
        <v>5</v>
      </c>
      <c r="E149" s="50"/>
      <c r="F149" s="50" t="s">
        <v>385</v>
      </c>
      <c r="G149" s="58" t="s">
        <v>419</v>
      </c>
    </row>
    <row r="150" spans="1:7" x14ac:dyDescent="0.35">
      <c r="D150" s="30">
        <f>SUM(D147:D149)</f>
        <v>25</v>
      </c>
      <c r="F150" s="19" t="s">
        <v>385</v>
      </c>
      <c r="G150" s="36" t="s">
        <v>459</v>
      </c>
    </row>
    <row r="152" spans="1:7" s="88" customFormat="1" x14ac:dyDescent="0.35">
      <c r="A152" s="86" t="s">
        <v>608</v>
      </c>
    </row>
    <row r="154" spans="1:7" x14ac:dyDescent="0.35">
      <c r="B154" s="83" t="s">
        <v>411</v>
      </c>
      <c r="D154" s="20">
        <v>1</v>
      </c>
      <c r="F154" t="s">
        <v>376</v>
      </c>
    </row>
    <row r="155" spans="1:7" x14ac:dyDescent="0.35">
      <c r="D155" s="20">
        <v>100</v>
      </c>
      <c r="F155" t="s">
        <v>412</v>
      </c>
    </row>
    <row r="156" spans="1:7" x14ac:dyDescent="0.35">
      <c r="D156" s="20">
        <f>D155/SUM(D120:E120)</f>
        <v>50</v>
      </c>
      <c r="F156" t="s">
        <v>457</v>
      </c>
    </row>
    <row r="157" spans="1:7" x14ac:dyDescent="0.35">
      <c r="D157" s="20">
        <f>D155*D154</f>
        <v>100</v>
      </c>
      <c r="F157" t="s">
        <v>371</v>
      </c>
    </row>
    <row r="158" spans="1:7" x14ac:dyDescent="0.35">
      <c r="D158" s="20">
        <f>D157*D42</f>
        <v>1070</v>
      </c>
      <c r="F158" t="s">
        <v>467</v>
      </c>
    </row>
    <row r="159" spans="1:7" x14ac:dyDescent="0.35">
      <c r="D159" s="20"/>
    </row>
    <row r="160" spans="1:7" x14ac:dyDescent="0.35">
      <c r="B160" s="83" t="str">
        <f>B48</f>
        <v>sun angle effect</v>
      </c>
      <c r="D160" s="95" t="str">
        <f t="shared" ref="D160" si="3">D48</f>
        <v>We look at two scenarios:</v>
      </c>
    </row>
    <row r="161" spans="2:16" x14ac:dyDescent="0.35">
      <c r="D161" s="95" t="str">
        <f t="shared" ref="D161" si="4">D49</f>
        <v>1) Sun at 45degress angle to solar cell (realistic scenario)</v>
      </c>
    </row>
    <row r="162" spans="2:16" x14ac:dyDescent="0.35">
      <c r="D162" s="95" t="str">
        <f t="shared" ref="D162" si="5">D50</f>
        <v>2) Sun  is normal to panel (industry standard scenario, useful for comparison purposes).</v>
      </c>
    </row>
    <row r="164" spans="2:16" x14ac:dyDescent="0.35">
      <c r="D164" s="95">
        <f t="shared" ref="D164:F164" si="6">D52</f>
        <v>45</v>
      </c>
      <c r="E164" s="95">
        <f t="shared" si="6"/>
        <v>0</v>
      </c>
      <c r="F164" s="95" t="str">
        <f t="shared" si="6"/>
        <v>angle of sun w.r.t. solar panel (e.g. 0 degrees is 100% normal)</v>
      </c>
      <c r="H164" s="95"/>
      <c r="I164" s="95"/>
    </row>
    <row r="165" spans="2:16" x14ac:dyDescent="0.35">
      <c r="D165" s="97">
        <f t="shared" ref="D165:F165" si="7">D53</f>
        <v>0.70710678118654746</v>
      </c>
      <c r="E165" s="96">
        <f t="shared" si="7"/>
        <v>1</v>
      </c>
      <c r="F165" s="96" t="str">
        <f t="shared" si="7"/>
        <v>discount due to sun angle</v>
      </c>
      <c r="H165" s="95"/>
      <c r="I165" s="95"/>
    </row>
    <row r="166" spans="2:16" x14ac:dyDescent="0.35">
      <c r="D166" s="98">
        <f>D54</f>
        <v>136.82516215959694</v>
      </c>
      <c r="E166" s="98">
        <f t="shared" ref="E166:F166" si="8">E54</f>
        <v>193.5</v>
      </c>
      <c r="F166" s="95" t="str">
        <f t="shared" si="8"/>
        <v>watts per panel</v>
      </c>
      <c r="H166" s="95"/>
      <c r="I166" s="95"/>
    </row>
    <row r="167" spans="2:16" x14ac:dyDescent="0.35">
      <c r="D167" s="20"/>
    </row>
    <row r="168" spans="2:16" x14ac:dyDescent="0.35">
      <c r="B168" s="83" t="s">
        <v>65</v>
      </c>
      <c r="D168" s="20">
        <f>D166</f>
        <v>136.82516215959694</v>
      </c>
      <c r="E168" s="20">
        <f>E166</f>
        <v>193.5</v>
      </c>
      <c r="F168" t="s">
        <v>372</v>
      </c>
      <c r="J168" s="44">
        <f>D168/4</f>
        <v>34.206290539899236</v>
      </c>
    </row>
    <row r="169" spans="2:16" x14ac:dyDescent="0.35">
      <c r="D169" s="20">
        <f>$D155*D168</f>
        <v>13682.516215959695</v>
      </c>
      <c r="E169" s="20">
        <f>$D155*E168</f>
        <v>19350</v>
      </c>
      <c r="F169" t="s">
        <v>413</v>
      </c>
      <c r="J169">
        <f>34/76</f>
        <v>0.44736842105263158</v>
      </c>
      <c r="O169" s="34">
        <f>14000*0.2</f>
        <v>2800</v>
      </c>
      <c r="P169" t="s">
        <v>1722</v>
      </c>
    </row>
    <row r="171" spans="2:16" x14ac:dyDescent="0.35">
      <c r="B171" s="83" t="s">
        <v>609</v>
      </c>
      <c r="D171" s="20">
        <v>110</v>
      </c>
      <c r="E171">
        <v>110</v>
      </c>
      <c r="F171" t="s">
        <v>39</v>
      </c>
    </row>
    <row r="172" spans="2:16" x14ac:dyDescent="0.35">
      <c r="D172" s="20">
        <f>D171*SQRT(2)</f>
        <v>155.56349186104046</v>
      </c>
      <c r="E172" s="20">
        <f>E171*SQRT(2)</f>
        <v>155.56349186104046</v>
      </c>
      <c r="F172" t="s">
        <v>610</v>
      </c>
    </row>
    <row r="173" spans="2:16" x14ac:dyDescent="0.35">
      <c r="D173" s="28">
        <f>D168/D171</f>
        <v>1.2438651105417904</v>
      </c>
      <c r="E173" s="28">
        <f>E168/E171</f>
        <v>1.759090909090909</v>
      </c>
      <c r="F173" t="s">
        <v>612</v>
      </c>
    </row>
    <row r="174" spans="2:16" x14ac:dyDescent="0.35">
      <c r="D174" s="28">
        <f>D168/D172</f>
        <v>0.87954545454545452</v>
      </c>
      <c r="E174" s="28">
        <f>E168/E172</f>
        <v>1.2438651105417904</v>
      </c>
      <c r="F174" t="s">
        <v>611</v>
      </c>
    </row>
    <row r="175" spans="2:16" x14ac:dyDescent="0.35">
      <c r="D175" s="28"/>
      <c r="E175" s="28"/>
    </row>
    <row r="176" spans="2:16" ht="29" x14ac:dyDescent="0.35">
      <c r="B176" s="83" t="s">
        <v>613</v>
      </c>
      <c r="D176" s="107" t="s">
        <v>614</v>
      </c>
      <c r="E176" s="107" t="s">
        <v>618</v>
      </c>
      <c r="F176" s="108" t="s">
        <v>507</v>
      </c>
      <c r="G176" s="4"/>
    </row>
    <row r="177" spans="1:19" x14ac:dyDescent="0.35">
      <c r="D177" s="106">
        <f>D171/D172</f>
        <v>0.70710678118654746</v>
      </c>
      <c r="E177" s="106">
        <f>1-D177</f>
        <v>0.29289321881345254</v>
      </c>
      <c r="F177" s="53">
        <v>1</v>
      </c>
      <c r="G177" t="s">
        <v>615</v>
      </c>
    </row>
    <row r="178" spans="1:19" x14ac:dyDescent="0.35">
      <c r="D178" s="43">
        <f t="shared" ref="D178:E179" si="9">$F178*D$177</f>
        <v>136.82516215959694</v>
      </c>
      <c r="E178" s="43">
        <f>$F178*E$177</f>
        <v>56.674837840403065</v>
      </c>
      <c r="F178" s="48">
        <f>E168</f>
        <v>193.5</v>
      </c>
      <c r="G178" t="s">
        <v>616</v>
      </c>
    </row>
    <row r="179" spans="1:19" x14ac:dyDescent="0.35">
      <c r="D179" s="43">
        <f t="shared" si="9"/>
        <v>96.749999999999986</v>
      </c>
      <c r="E179" s="43">
        <f t="shared" si="9"/>
        <v>40.075162159596957</v>
      </c>
      <c r="F179" s="48">
        <f>D168</f>
        <v>136.82516215959694</v>
      </c>
      <c r="G179" t="s">
        <v>617</v>
      </c>
    </row>
    <row r="180" spans="1:19" x14ac:dyDescent="0.35">
      <c r="D180" s="20"/>
    </row>
    <row r="181" spans="1:19" x14ac:dyDescent="0.35">
      <c r="B181" s="83" t="s">
        <v>464</v>
      </c>
      <c r="D181" s="20"/>
    </row>
    <row r="182" spans="1:19" x14ac:dyDescent="0.35">
      <c r="D182" s="30">
        <v>35</v>
      </c>
    </row>
    <row r="183" spans="1:19" x14ac:dyDescent="0.35">
      <c r="D183" s="20"/>
      <c r="G183" t="s">
        <v>0</v>
      </c>
      <c r="H183" t="s">
        <v>0</v>
      </c>
    </row>
    <row r="184" spans="1:19" s="3" customFormat="1" ht="29.5" thickBot="1" x14ac:dyDescent="0.4">
      <c r="A184" s="91"/>
      <c r="B184" s="83" t="s">
        <v>597</v>
      </c>
      <c r="D184" s="57" t="s">
        <v>425</v>
      </c>
      <c r="E184" s="57" t="s">
        <v>458</v>
      </c>
      <c r="F184" s="56" t="s">
        <v>414</v>
      </c>
      <c r="H184" s="57" t="s">
        <v>594</v>
      </c>
      <c r="I184" s="57" t="s">
        <v>595</v>
      </c>
    </row>
    <row r="185" spans="1:19" s="3" customFormat="1" x14ac:dyDescent="0.35">
      <c r="A185" s="91"/>
      <c r="B185" s="83"/>
      <c r="D185" s="64"/>
      <c r="F185" s="65"/>
      <c r="H185" s="64"/>
    </row>
    <row r="186" spans="1:19" x14ac:dyDescent="0.35">
      <c r="B186" s="83" t="s">
        <v>0</v>
      </c>
      <c r="D186">
        <v>1</v>
      </c>
      <c r="E186" s="48">
        <f>D186*SUM(D120:E120)</f>
        <v>2</v>
      </c>
      <c r="F186">
        <v>100</v>
      </c>
      <c r="H186" s="61"/>
      <c r="K186" t="s">
        <v>424</v>
      </c>
    </row>
    <row r="187" spans="1:19" x14ac:dyDescent="0.35">
      <c r="H187" s="61"/>
    </row>
    <row r="188" spans="1:19" x14ac:dyDescent="0.35">
      <c r="D188" s="8">
        <f>F188/$D$155</f>
        <v>30.6</v>
      </c>
      <c r="E188" s="8">
        <f>D188*E$186</f>
        <v>61.2</v>
      </c>
      <c r="F188" s="34">
        <f>D155*G70</f>
        <v>3060</v>
      </c>
      <c r="H188" s="8">
        <f>F188/D$169</f>
        <v>0.2236430749799313</v>
      </c>
      <c r="I188" s="8">
        <f>$F188/E$169</f>
        <v>0.15813953488372093</v>
      </c>
      <c r="K188" s="55" t="s">
        <v>463</v>
      </c>
    </row>
    <row r="189" spans="1:19" x14ac:dyDescent="0.35">
      <c r="D189" s="8">
        <f>F189/$D$155</f>
        <v>15.574999999999999</v>
      </c>
      <c r="E189" s="8">
        <f>D189*E$186</f>
        <v>31.15</v>
      </c>
      <c r="F189" s="34">
        <f>D156*G127</f>
        <v>1557.5</v>
      </c>
      <c r="H189" s="8">
        <f>$F189/D$169</f>
        <v>0.11383140172589641</v>
      </c>
      <c r="I189" s="8">
        <f>$F189/E$169</f>
        <v>8.0490956072351419E-2</v>
      </c>
      <c r="K189" t="s">
        <v>462</v>
      </c>
    </row>
    <row r="190" spans="1:19" x14ac:dyDescent="0.35">
      <c r="D190" s="8">
        <f>G132*F190/$D$155</f>
        <v>6.25</v>
      </c>
      <c r="E190" s="8">
        <f t="shared" ref="E190:E192" si="10">D190*E$186</f>
        <v>12.5</v>
      </c>
      <c r="F190" s="34">
        <f>D155*D150*G132</f>
        <v>1250</v>
      </c>
      <c r="H190" s="8">
        <f>F190/D$169</f>
        <v>9.1357465269579788E-2</v>
      </c>
      <c r="I190" s="8">
        <f>$F190/E$169</f>
        <v>6.4599483204134361E-2</v>
      </c>
      <c r="K190" t="s">
        <v>420</v>
      </c>
    </row>
    <row r="191" spans="1:19" ht="15" thickBot="1" x14ac:dyDescent="0.4">
      <c r="D191" s="63">
        <f>D182</f>
        <v>35</v>
      </c>
      <c r="E191" s="63">
        <f t="shared" si="10"/>
        <v>70</v>
      </c>
      <c r="F191" s="62">
        <f>D191*D155</f>
        <v>3500</v>
      </c>
      <c r="H191" s="63">
        <f>F191/D$169</f>
        <v>0.25580090275482337</v>
      </c>
      <c r="I191" s="63">
        <f>$F191/E$169</f>
        <v>0.18087855297157623</v>
      </c>
      <c r="K191" s="50" t="s">
        <v>465</v>
      </c>
      <c r="L191" s="50"/>
      <c r="M191" s="50"/>
      <c r="N191" s="50"/>
      <c r="O191" s="50"/>
      <c r="P191" s="50"/>
      <c r="Q191" s="50"/>
      <c r="R191" s="50"/>
      <c r="S191" s="50"/>
    </row>
    <row r="192" spans="1:19" x14ac:dyDescent="0.35">
      <c r="D192" s="33">
        <f>SUM(D188:D191)</f>
        <v>87.424999999999997</v>
      </c>
      <c r="E192" s="8">
        <f t="shared" si="10"/>
        <v>174.85</v>
      </c>
      <c r="F192" s="34">
        <f>SUM(F188:F191)</f>
        <v>9367.5</v>
      </c>
      <c r="H192" s="37">
        <f>SUM(H188:H191)</f>
        <v>0.68463284473023078</v>
      </c>
      <c r="I192" s="8">
        <f>$F192/E$169</f>
        <v>0.48410852713178293</v>
      </c>
      <c r="K192" t="s">
        <v>466</v>
      </c>
    </row>
    <row r="193" spans="1:10" x14ac:dyDescent="0.35">
      <c r="D193" s="33"/>
      <c r="E193" s="8"/>
      <c r="F193" s="34"/>
      <c r="H193" s="37"/>
      <c r="I193" s="8"/>
    </row>
    <row r="194" spans="1:10" x14ac:dyDescent="0.35">
      <c r="D194" s="37">
        <f>D192/10.7</f>
        <v>8.1705607476635524</v>
      </c>
      <c r="E194" s="8" t="s">
        <v>619</v>
      </c>
      <c r="F194" s="34"/>
      <c r="H194" s="37"/>
      <c r="I194" s="8"/>
    </row>
    <row r="195" spans="1:10" x14ac:dyDescent="0.35">
      <c r="D195" s="33"/>
      <c r="E195" s="8"/>
      <c r="F195" s="34"/>
      <c r="G195" s="37"/>
    </row>
    <row r="196" spans="1:10" x14ac:dyDescent="0.35">
      <c r="B196" s="83" t="s">
        <v>574</v>
      </c>
      <c r="D196" s="33"/>
      <c r="E196" s="8"/>
      <c r="F196" s="34"/>
      <c r="G196" s="37"/>
    </row>
    <row r="197" spans="1:10" x14ac:dyDescent="0.35">
      <c r="D197" s="99" t="s">
        <v>596</v>
      </c>
      <c r="E197" s="8"/>
      <c r="F197" s="34"/>
      <c r="G197" s="37"/>
    </row>
    <row r="198" spans="1:10" x14ac:dyDescent="0.35">
      <c r="G198" s="37"/>
    </row>
    <row r="199" spans="1:10" x14ac:dyDescent="0.35">
      <c r="D199" s="37">
        <v>0.12</v>
      </c>
      <c r="E199" s="8"/>
      <c r="F199" t="s">
        <v>575</v>
      </c>
      <c r="G199" s="37"/>
      <c r="J199" t="s">
        <v>576</v>
      </c>
    </row>
    <row r="200" spans="1:10" x14ac:dyDescent="0.35">
      <c r="D200" s="37"/>
      <c r="E200" s="8"/>
      <c r="G200" s="37"/>
    </row>
    <row r="201" spans="1:10" x14ac:dyDescent="0.35">
      <c r="D201" s="80">
        <v>4</v>
      </c>
      <c r="E201" s="80">
        <v>5</v>
      </c>
      <c r="F201" s="81" t="s">
        <v>581</v>
      </c>
      <c r="G201" s="82"/>
    </row>
    <row r="202" spans="1:10" x14ac:dyDescent="0.35">
      <c r="D202" s="31">
        <f>D201*365</f>
        <v>1460</v>
      </c>
      <c r="E202" s="31">
        <f>E201*365</f>
        <v>1825</v>
      </c>
      <c r="F202" s="79" t="s">
        <v>580</v>
      </c>
      <c r="G202" s="37"/>
    </row>
    <row r="203" spans="1:10" x14ac:dyDescent="0.35">
      <c r="D203" s="8">
        <f>D202*$D199</f>
        <v>175.2</v>
      </c>
      <c r="E203" s="8">
        <f>E202*$D199</f>
        <v>219</v>
      </c>
      <c r="F203" s="79" t="s">
        <v>577</v>
      </c>
      <c r="G203" s="37"/>
    </row>
    <row r="204" spans="1:10" x14ac:dyDescent="0.35">
      <c r="D204" s="8">
        <f>D203/1000</f>
        <v>0.17519999999999999</v>
      </c>
      <c r="E204" s="8">
        <f>E203/1000</f>
        <v>0.219</v>
      </c>
      <c r="F204" s="79" t="s">
        <v>578</v>
      </c>
      <c r="G204" s="37"/>
    </row>
    <row r="205" spans="1:10" x14ac:dyDescent="0.35">
      <c r="D205" s="34">
        <f>$D$169*D204</f>
        <v>2397.1768410361383</v>
      </c>
      <c r="E205" s="34">
        <f>$D$169*E204</f>
        <v>2996.4710512951733</v>
      </c>
      <c r="F205" s="79" t="s">
        <v>606</v>
      </c>
      <c r="G205" s="37"/>
    </row>
    <row r="206" spans="1:10" x14ac:dyDescent="0.35">
      <c r="D206" s="43">
        <f>$F$192/D205</f>
        <v>3.9077217164967522</v>
      </c>
      <c r="E206" s="43">
        <f>$F$192/E205</f>
        <v>3.1261773731974012</v>
      </c>
      <c r="F206" s="79" t="s">
        <v>579</v>
      </c>
      <c r="G206" s="37"/>
    </row>
    <row r="207" spans="1:10" x14ac:dyDescent="0.35">
      <c r="D207" s="34"/>
      <c r="E207" s="33"/>
      <c r="F207" s="33"/>
    </row>
    <row r="208" spans="1:10" s="88" customFormat="1" x14ac:dyDescent="0.35">
      <c r="A208" s="86" t="s">
        <v>409</v>
      </c>
    </row>
    <row r="210" spans="1:29" x14ac:dyDescent="0.35">
      <c r="B210" s="83" t="s">
        <v>408</v>
      </c>
      <c r="D210" s="29">
        <f>D78</f>
        <v>6.0000000000000001E-3</v>
      </c>
      <c r="E210" t="s">
        <v>40</v>
      </c>
    </row>
    <row r="211" spans="1:29" x14ac:dyDescent="0.35">
      <c r="D211" s="29"/>
    </row>
    <row r="212" spans="1:29" x14ac:dyDescent="0.35">
      <c r="B212" s="83" t="s">
        <v>266</v>
      </c>
      <c r="D212" s="32">
        <v>1</v>
      </c>
      <c r="E212" s="32">
        <v>3</v>
      </c>
      <c r="F212" s="32">
        <v>5</v>
      </c>
      <c r="G212" s="32">
        <v>10</v>
      </c>
      <c r="H212" t="s">
        <v>39</v>
      </c>
    </row>
    <row r="213" spans="1:29" x14ac:dyDescent="0.35">
      <c r="D213" s="20">
        <f>$D168/D212</f>
        <v>136.82516215959694</v>
      </c>
      <c r="E213" s="20">
        <f>$D168/E212</f>
        <v>45.608387386532314</v>
      </c>
      <c r="F213" s="20">
        <f>$D168/F212</f>
        <v>27.365032431919389</v>
      </c>
      <c r="G213" s="20">
        <f>$D168/G212</f>
        <v>13.682516215959694</v>
      </c>
      <c r="H213" t="s">
        <v>38</v>
      </c>
    </row>
    <row r="214" spans="1:29" x14ac:dyDescent="0.35">
      <c r="D214" s="20">
        <f>D213*D212</f>
        <v>136.82516215959694</v>
      </c>
      <c r="E214" s="20">
        <f>E213*E212</f>
        <v>136.82516215959694</v>
      </c>
      <c r="F214" s="20">
        <f>F213*F212</f>
        <v>136.82516215959694</v>
      </c>
      <c r="G214" s="20">
        <f>G213*G212</f>
        <v>136.82516215959694</v>
      </c>
      <c r="H214" t="s">
        <v>264</v>
      </c>
    </row>
    <row r="215" spans="1:29" x14ac:dyDescent="0.35">
      <c r="D215" s="20"/>
      <c r="E215" s="20"/>
      <c r="F215" s="20"/>
      <c r="G215" s="20"/>
    </row>
    <row r="216" spans="1:29" x14ac:dyDescent="0.35">
      <c r="D216" s="27">
        <f>(D213^2)*$D210</f>
        <v>112.32675</v>
      </c>
      <c r="E216" s="27">
        <f>(E213^2)*$D210</f>
        <v>12.48075</v>
      </c>
      <c r="F216" s="27">
        <f>(F213^2)*$D210</f>
        <v>4.4930699999999995</v>
      </c>
      <c r="G216" s="27">
        <f>(G213^2)*$D210</f>
        <v>1.1232674999999999</v>
      </c>
      <c r="H216" t="s">
        <v>267</v>
      </c>
    </row>
    <row r="217" spans="1:29" x14ac:dyDescent="0.35">
      <c r="D217" s="27"/>
      <c r="E217" s="27"/>
      <c r="F217" s="27"/>
      <c r="G217" s="27"/>
    </row>
    <row r="218" spans="1:29" s="88" customFormat="1" x14ac:dyDescent="0.35">
      <c r="A218" s="86" t="s">
        <v>2789</v>
      </c>
    </row>
    <row r="219" spans="1:29" x14ac:dyDescent="0.35">
      <c r="D219" s="27"/>
      <c r="E219" s="27"/>
      <c r="F219" s="27"/>
      <c r="G219" s="27"/>
    </row>
    <row r="220" spans="1:29" x14ac:dyDescent="0.35">
      <c r="B220" s="83" t="s">
        <v>2785</v>
      </c>
      <c r="C220" s="253"/>
      <c r="D220" s="254"/>
      <c r="E220" s="255"/>
      <c r="F220" s="256"/>
      <c r="G220" s="257"/>
      <c r="H220" s="255"/>
      <c r="I220" s="258"/>
      <c r="J220" s="258"/>
      <c r="K220" s="259"/>
      <c r="L220" s="255"/>
    </row>
    <row r="221" spans="1:29" x14ac:dyDescent="0.35">
      <c r="C221" s="254"/>
      <c r="D221" s="254"/>
      <c r="E221" s="255"/>
      <c r="F221" s="256"/>
      <c r="G221" s="257"/>
      <c r="H221" s="255"/>
      <c r="I221" s="258"/>
      <c r="J221" s="258"/>
      <c r="K221" s="259"/>
      <c r="L221" s="255"/>
      <c r="AA221" s="276"/>
      <c r="AB221" s="277" t="s">
        <v>2805</v>
      </c>
      <c r="AC221" s="276"/>
    </row>
    <row r="222" spans="1:29" x14ac:dyDescent="0.35">
      <c r="D222" s="38" t="s">
        <v>275</v>
      </c>
      <c r="E222" s="38" t="s">
        <v>276</v>
      </c>
      <c r="F222" s="38" t="s">
        <v>984</v>
      </c>
      <c r="G222" s="38" t="s">
        <v>3</v>
      </c>
      <c r="H222" s="7"/>
      <c r="I222" s="38" t="s">
        <v>2792</v>
      </c>
      <c r="J222" s="38" t="s">
        <v>2794</v>
      </c>
      <c r="K222" s="38" t="s">
        <v>2800</v>
      </c>
      <c r="L222" s="38" t="s">
        <v>2802</v>
      </c>
      <c r="N222" s="38" t="s">
        <v>2790</v>
      </c>
      <c r="O222" s="40" t="s">
        <v>1638</v>
      </c>
      <c r="P222" s="38" t="s">
        <v>2796</v>
      </c>
      <c r="Q222" s="38" t="s">
        <v>2786</v>
      </c>
      <c r="R222" s="38" t="s">
        <v>277</v>
      </c>
      <c r="S222" s="38" t="s">
        <v>277</v>
      </c>
      <c r="T222" s="38" t="s">
        <v>277</v>
      </c>
      <c r="V222" s="38" t="s">
        <v>2798</v>
      </c>
      <c r="W222" s="38" t="s">
        <v>2797</v>
      </c>
      <c r="X222" s="38" t="s">
        <v>2797</v>
      </c>
      <c r="Y222" s="38" t="s">
        <v>1389</v>
      </c>
      <c r="AA222" s="38" t="s">
        <v>277</v>
      </c>
      <c r="AB222" s="38" t="s">
        <v>2797</v>
      </c>
      <c r="AC222" s="38" t="s">
        <v>1389</v>
      </c>
    </row>
    <row r="223" spans="1:29" ht="15" thickBot="1" x14ac:dyDescent="0.4">
      <c r="D223" s="39" t="s">
        <v>283</v>
      </c>
      <c r="E223" s="39" t="s">
        <v>283</v>
      </c>
      <c r="F223" s="39" t="s">
        <v>283</v>
      </c>
      <c r="G223" s="39" t="s">
        <v>278</v>
      </c>
      <c r="H223" s="7"/>
      <c r="I223" s="39" t="s">
        <v>2793</v>
      </c>
      <c r="J223" s="39" t="s">
        <v>2795</v>
      </c>
      <c r="K223" s="39" t="s">
        <v>2801</v>
      </c>
      <c r="L223" s="39" t="s">
        <v>2803</v>
      </c>
      <c r="N223" s="39" t="s">
        <v>2791</v>
      </c>
      <c r="O223" s="41" t="s">
        <v>2791</v>
      </c>
      <c r="P223" s="39" t="s">
        <v>55</v>
      </c>
      <c r="Q223" s="39" t="s">
        <v>2787</v>
      </c>
      <c r="R223" s="39" t="s">
        <v>2788</v>
      </c>
      <c r="S223" s="39" t="s">
        <v>2294</v>
      </c>
      <c r="T223" s="39" t="s">
        <v>290</v>
      </c>
      <c r="V223" s="39" t="s">
        <v>2799</v>
      </c>
      <c r="W223" s="271" t="s">
        <v>67</v>
      </c>
      <c r="X223" s="271" t="s">
        <v>69</v>
      </c>
      <c r="Y223" s="271" t="s">
        <v>2804</v>
      </c>
      <c r="AA223" s="39" t="s">
        <v>290</v>
      </c>
      <c r="AB223" s="271" t="s">
        <v>69</v>
      </c>
      <c r="AC223" s="271" t="s">
        <v>2804</v>
      </c>
    </row>
    <row r="224" spans="1:29" x14ac:dyDescent="0.35">
      <c r="D224" s="254">
        <v>1</v>
      </c>
      <c r="E224" s="254">
        <v>0.1</v>
      </c>
      <c r="F224">
        <v>1E-3</v>
      </c>
      <c r="G224" s="278">
        <v>1</v>
      </c>
      <c r="H224" s="7"/>
      <c r="I224" s="274" t="s">
        <v>360</v>
      </c>
      <c r="J224" s="269">
        <v>2.8200000000000001E-8</v>
      </c>
      <c r="K224" s="270">
        <v>2710</v>
      </c>
      <c r="L224" s="275">
        <v>1.79</v>
      </c>
      <c r="N224" s="7">
        <f t="shared" ref="N224:N230" si="11">E224*F224</f>
        <v>1E-4</v>
      </c>
      <c r="O224" s="264">
        <f t="shared" ref="O224:O230" si="12">J224/N224</f>
        <v>2.8200000000000002E-4</v>
      </c>
      <c r="P224" s="263">
        <f t="shared" ref="P224:P230" si="13">O224*D224</f>
        <v>2.8200000000000002E-4</v>
      </c>
      <c r="Q224" s="260">
        <f t="shared" ref="Q224:Q230" si="14">G224*P224*1000000</f>
        <v>282</v>
      </c>
      <c r="R224" s="261">
        <f t="shared" ref="R224:R230" si="15">G224*Q224</f>
        <v>282</v>
      </c>
      <c r="S224" s="262">
        <f t="shared" ref="S224:T230" si="16">R224/1000</f>
        <v>0.28199999999999997</v>
      </c>
      <c r="T224" s="262">
        <f t="shared" si="16"/>
        <v>2.8199999999999997E-4</v>
      </c>
      <c r="V224" s="272">
        <f t="shared" ref="V224:V230" si="17">N224*D224</f>
        <v>1E-4</v>
      </c>
      <c r="W224" s="204">
        <f t="shared" ref="W224:W230" si="18">K224*V224</f>
        <v>0.27100000000000002</v>
      </c>
      <c r="X224" s="13">
        <f>W224*2.2</f>
        <v>0.59620000000000006</v>
      </c>
      <c r="Y224" s="9">
        <f t="shared" ref="Y224:Y230" si="19">L224*W224</f>
        <v>0.48509000000000002</v>
      </c>
      <c r="AA224" s="44">
        <f>2*T224</f>
        <v>5.6399999999999994E-4</v>
      </c>
      <c r="AB224" s="13">
        <f>X224*2</f>
        <v>1.1924000000000001</v>
      </c>
      <c r="AC224" s="99">
        <f>Y224*2</f>
        <v>0.97018000000000004</v>
      </c>
    </row>
    <row r="225" spans="1:29" x14ac:dyDescent="0.35">
      <c r="D225" s="254">
        <v>10</v>
      </c>
      <c r="E225" s="254">
        <v>0.3</v>
      </c>
      <c r="F225">
        <v>1E-3</v>
      </c>
      <c r="G225" s="268">
        <v>18</v>
      </c>
      <c r="H225" s="7"/>
      <c r="I225" s="3" t="str">
        <f t="shared" ref="I225:L230" si="20">I$224</f>
        <v>AL</v>
      </c>
      <c r="J225">
        <f t="shared" si="20"/>
        <v>2.8200000000000001E-8</v>
      </c>
      <c r="K225">
        <f t="shared" si="20"/>
        <v>2710</v>
      </c>
      <c r="L225">
        <f t="shared" si="20"/>
        <v>1.79</v>
      </c>
      <c r="N225" s="7">
        <f t="shared" si="11"/>
        <v>2.9999999999999997E-4</v>
      </c>
      <c r="O225" s="265">
        <f t="shared" si="12"/>
        <v>9.4000000000000008E-5</v>
      </c>
      <c r="P225" s="263">
        <f t="shared" si="13"/>
        <v>9.4000000000000008E-4</v>
      </c>
      <c r="Q225" s="260">
        <f t="shared" si="14"/>
        <v>16920</v>
      </c>
      <c r="R225" s="267">
        <f t="shared" si="15"/>
        <v>304560</v>
      </c>
      <c r="S225" s="266">
        <f t="shared" si="16"/>
        <v>304.56</v>
      </c>
      <c r="T225" s="262">
        <f t="shared" si="16"/>
        <v>0.30456</v>
      </c>
      <c r="V225" s="273">
        <f t="shared" si="17"/>
        <v>2.9999999999999996E-3</v>
      </c>
      <c r="W225" s="204">
        <f t="shared" si="18"/>
        <v>8.129999999999999</v>
      </c>
      <c r="X225" s="13">
        <f t="shared" ref="X225:X230" si="21">W225*2.2</f>
        <v>17.885999999999999</v>
      </c>
      <c r="Y225" s="9">
        <f t="shared" si="19"/>
        <v>14.552699999999998</v>
      </c>
      <c r="AA225" s="44">
        <f t="shared" ref="AA225:AA230" si="22">2*T225</f>
        <v>0.60911999999999999</v>
      </c>
      <c r="AB225" s="13">
        <f t="shared" ref="AB225:AB230" si="23">X225*2</f>
        <v>35.771999999999998</v>
      </c>
      <c r="AC225" s="99">
        <f t="shared" ref="AC225:AC230" si="24">Y225*2</f>
        <v>29.105399999999996</v>
      </c>
    </row>
    <row r="226" spans="1:29" x14ac:dyDescent="0.35">
      <c r="D226" s="254">
        <v>1</v>
      </c>
      <c r="E226" s="254">
        <v>1</v>
      </c>
      <c r="F226">
        <v>2E-3</v>
      </c>
      <c r="G226" s="268">
        <v>18</v>
      </c>
      <c r="H226" s="7"/>
      <c r="I226" s="3" t="str">
        <f t="shared" si="20"/>
        <v>AL</v>
      </c>
      <c r="J226">
        <f t="shared" si="20"/>
        <v>2.8200000000000001E-8</v>
      </c>
      <c r="K226">
        <f t="shared" si="20"/>
        <v>2710</v>
      </c>
      <c r="L226">
        <f t="shared" si="20"/>
        <v>1.79</v>
      </c>
      <c r="N226" s="7">
        <f t="shared" ref="N226" si="25">E226*F226</f>
        <v>2E-3</v>
      </c>
      <c r="O226" s="265">
        <f t="shared" ref="O226" si="26">J226/N226</f>
        <v>1.4100000000000001E-5</v>
      </c>
      <c r="P226" s="263">
        <f t="shared" ref="P226" si="27">O226*D226</f>
        <v>1.4100000000000001E-5</v>
      </c>
      <c r="Q226" s="260">
        <f t="shared" ref="Q226" si="28">G226*P226*1000000</f>
        <v>253.79999999999998</v>
      </c>
      <c r="R226" s="267">
        <f t="shared" ref="R226" si="29">G226*Q226</f>
        <v>4568.3999999999996</v>
      </c>
      <c r="S226" s="266">
        <f t="shared" ref="S226" si="30">R226/1000</f>
        <v>4.5683999999999996</v>
      </c>
      <c r="T226" s="262">
        <f t="shared" ref="T226" si="31">S226/1000</f>
        <v>4.5683999999999994E-3</v>
      </c>
      <c r="V226" s="273">
        <f t="shared" ref="V226" si="32">N226*D226</f>
        <v>2E-3</v>
      </c>
      <c r="W226" s="204">
        <f t="shared" ref="W226" si="33">K226*V226</f>
        <v>5.42</v>
      </c>
      <c r="X226" s="13">
        <f t="shared" ref="X226" si="34">W226*2.2</f>
        <v>11.924000000000001</v>
      </c>
      <c r="Y226" s="9">
        <f t="shared" ref="Y226" si="35">L226*W226</f>
        <v>9.7018000000000004</v>
      </c>
      <c r="AA226" s="44">
        <f t="shared" ref="AA226" si="36">2*T226</f>
        <v>9.1367999999999987E-3</v>
      </c>
      <c r="AB226" s="13">
        <f t="shared" ref="AB226" si="37">X226*2</f>
        <v>23.848000000000003</v>
      </c>
      <c r="AC226" s="99">
        <f t="shared" ref="AC226" si="38">Y226*2</f>
        <v>19.403600000000001</v>
      </c>
    </row>
    <row r="227" spans="1:29" x14ac:dyDescent="0.35">
      <c r="D227" s="254">
        <v>10</v>
      </c>
      <c r="E227" s="254">
        <v>0.9</v>
      </c>
      <c r="F227">
        <v>2E-3</v>
      </c>
      <c r="G227" s="268">
        <v>18</v>
      </c>
      <c r="H227" s="7"/>
      <c r="I227" s="3" t="str">
        <f t="shared" si="20"/>
        <v>AL</v>
      </c>
      <c r="J227">
        <f t="shared" si="20"/>
        <v>2.8200000000000001E-8</v>
      </c>
      <c r="K227">
        <f t="shared" si="20"/>
        <v>2710</v>
      </c>
      <c r="L227">
        <f t="shared" si="20"/>
        <v>1.79</v>
      </c>
      <c r="N227" s="7">
        <f t="shared" si="11"/>
        <v>1.8000000000000002E-3</v>
      </c>
      <c r="O227" s="265">
        <f t="shared" si="12"/>
        <v>1.5666666666666667E-5</v>
      </c>
      <c r="P227" s="263">
        <f t="shared" si="13"/>
        <v>1.5666666666666666E-4</v>
      </c>
      <c r="Q227" s="260">
        <f t="shared" si="14"/>
        <v>2820</v>
      </c>
      <c r="R227" s="267">
        <f t="shared" si="15"/>
        <v>50760</v>
      </c>
      <c r="S227" s="266">
        <f t="shared" si="16"/>
        <v>50.76</v>
      </c>
      <c r="T227" s="262">
        <f t="shared" si="16"/>
        <v>5.076E-2</v>
      </c>
      <c r="V227" s="273">
        <f t="shared" si="17"/>
        <v>1.8000000000000002E-2</v>
      </c>
      <c r="W227" s="204">
        <f t="shared" si="18"/>
        <v>48.780000000000008</v>
      </c>
      <c r="X227" s="13">
        <f t="shared" si="21"/>
        <v>107.31600000000003</v>
      </c>
      <c r="Y227" s="9">
        <f t="shared" si="19"/>
        <v>87.316200000000023</v>
      </c>
      <c r="AA227" s="44">
        <f t="shared" si="22"/>
        <v>0.10152</v>
      </c>
      <c r="AB227" s="13">
        <f t="shared" si="23"/>
        <v>214.63200000000006</v>
      </c>
      <c r="AC227" s="99">
        <f t="shared" si="24"/>
        <v>174.63240000000005</v>
      </c>
    </row>
    <row r="228" spans="1:29" x14ac:dyDescent="0.35">
      <c r="C228" s="73" t="s">
        <v>2806</v>
      </c>
      <c r="D228" s="254">
        <f>5*D227</f>
        <v>50</v>
      </c>
      <c r="E228" s="254">
        <v>0.9</v>
      </c>
      <c r="F228">
        <v>2E-3</v>
      </c>
      <c r="G228" s="268">
        <f>G227*5</f>
        <v>90</v>
      </c>
      <c r="H228" s="7"/>
      <c r="I228" s="3" t="str">
        <f t="shared" si="20"/>
        <v>AL</v>
      </c>
      <c r="J228">
        <f t="shared" si="20"/>
        <v>2.8200000000000001E-8</v>
      </c>
      <c r="K228">
        <f t="shared" si="20"/>
        <v>2710</v>
      </c>
      <c r="L228">
        <f t="shared" si="20"/>
        <v>1.79</v>
      </c>
      <c r="N228" s="7">
        <f t="shared" si="11"/>
        <v>1.8000000000000002E-3</v>
      </c>
      <c r="O228" s="265">
        <f t="shared" si="12"/>
        <v>1.5666666666666667E-5</v>
      </c>
      <c r="P228" s="263">
        <f t="shared" si="13"/>
        <v>7.8333333333333336E-4</v>
      </c>
      <c r="Q228" s="260">
        <f t="shared" si="14"/>
        <v>70500</v>
      </c>
      <c r="R228" s="267">
        <f t="shared" si="15"/>
        <v>6345000</v>
      </c>
      <c r="S228" s="266">
        <f t="shared" si="16"/>
        <v>6345</v>
      </c>
      <c r="T228" s="262">
        <f t="shared" si="16"/>
        <v>6.3449999999999998</v>
      </c>
      <c r="V228" s="273">
        <f t="shared" si="17"/>
        <v>9.0000000000000011E-2</v>
      </c>
      <c r="W228" s="204">
        <f t="shared" si="18"/>
        <v>243.90000000000003</v>
      </c>
      <c r="X228" s="13">
        <f t="shared" si="21"/>
        <v>536.58000000000015</v>
      </c>
      <c r="Y228" s="9">
        <f t="shared" si="19"/>
        <v>436.58100000000007</v>
      </c>
      <c r="AA228" s="44">
        <f t="shared" ref="AA228" si="39">2*T228</f>
        <v>12.69</v>
      </c>
      <c r="AB228" s="13">
        <f t="shared" ref="AB228" si="40">X228*2</f>
        <v>1073.1600000000003</v>
      </c>
      <c r="AC228" s="99">
        <f t="shared" ref="AC228" si="41">Y228*2</f>
        <v>873.16200000000015</v>
      </c>
    </row>
    <row r="229" spans="1:29" x14ac:dyDescent="0.35">
      <c r="C229" s="280" t="s">
        <v>2807</v>
      </c>
      <c r="D229" s="254">
        <f>2*20</f>
        <v>40</v>
      </c>
      <c r="E229" s="254">
        <v>0.9</v>
      </c>
      <c r="F229" s="10">
        <v>0.01</v>
      </c>
      <c r="G229" s="268">
        <f>G228*20</f>
        <v>1800</v>
      </c>
      <c r="H229" s="7"/>
      <c r="I229" s="3" t="str">
        <f t="shared" si="20"/>
        <v>AL</v>
      </c>
      <c r="J229">
        <f t="shared" si="20"/>
        <v>2.8200000000000001E-8</v>
      </c>
      <c r="K229">
        <f t="shared" si="20"/>
        <v>2710</v>
      </c>
      <c r="L229">
        <f t="shared" si="20"/>
        <v>1.79</v>
      </c>
      <c r="N229" s="7">
        <f t="shared" si="11"/>
        <v>9.0000000000000011E-3</v>
      </c>
      <c r="O229" s="265">
        <f t="shared" si="12"/>
        <v>3.1333333333333331E-6</v>
      </c>
      <c r="P229" s="263">
        <f t="shared" si="13"/>
        <v>1.2533333333333334E-4</v>
      </c>
      <c r="Q229" s="282">
        <f t="shared" si="14"/>
        <v>225600</v>
      </c>
      <c r="R229" s="267">
        <f t="shared" si="15"/>
        <v>406080000</v>
      </c>
      <c r="S229" s="282">
        <f t="shared" si="16"/>
        <v>406080</v>
      </c>
      <c r="T229" s="281">
        <f t="shared" si="16"/>
        <v>406.08</v>
      </c>
      <c r="V229" s="273">
        <f t="shared" si="17"/>
        <v>0.36000000000000004</v>
      </c>
      <c r="W229" s="204">
        <f t="shared" si="18"/>
        <v>975.60000000000014</v>
      </c>
      <c r="X229" s="13">
        <f t="shared" si="21"/>
        <v>2146.3200000000006</v>
      </c>
      <c r="Y229" s="279">
        <f t="shared" si="19"/>
        <v>1746.3240000000003</v>
      </c>
      <c r="AA229" s="154">
        <f t="shared" ref="AA229" si="42">2*T229</f>
        <v>812.16</v>
      </c>
      <c r="AB229" s="13">
        <f t="shared" ref="AB229" si="43">X229*2</f>
        <v>4292.6400000000012</v>
      </c>
      <c r="AC229" s="34">
        <f t="shared" ref="AC229" si="44">Y229*2</f>
        <v>3492.6480000000006</v>
      </c>
    </row>
    <row r="230" spans="1:29" x14ac:dyDescent="0.35">
      <c r="D230" s="254">
        <v>10</v>
      </c>
      <c r="E230" s="254">
        <v>2</v>
      </c>
      <c r="F230">
        <v>1E-3</v>
      </c>
      <c r="G230" s="268">
        <v>128</v>
      </c>
      <c r="H230" s="7"/>
      <c r="I230" s="3" t="str">
        <f t="shared" si="20"/>
        <v>AL</v>
      </c>
      <c r="J230">
        <f t="shared" si="20"/>
        <v>2.8200000000000001E-8</v>
      </c>
      <c r="K230">
        <f t="shared" si="20"/>
        <v>2710</v>
      </c>
      <c r="L230">
        <f t="shared" si="20"/>
        <v>1.79</v>
      </c>
      <c r="N230" s="273">
        <f t="shared" si="11"/>
        <v>2E-3</v>
      </c>
      <c r="O230" s="265">
        <f t="shared" si="12"/>
        <v>1.4100000000000001E-5</v>
      </c>
      <c r="P230" s="263">
        <f t="shared" si="13"/>
        <v>1.4100000000000001E-4</v>
      </c>
      <c r="Q230" s="260">
        <f t="shared" si="14"/>
        <v>18048</v>
      </c>
      <c r="R230" s="267">
        <f t="shared" si="15"/>
        <v>2310144</v>
      </c>
      <c r="S230" s="266">
        <f t="shared" si="16"/>
        <v>2310.1439999999998</v>
      </c>
      <c r="T230" s="262">
        <f t="shared" si="16"/>
        <v>2.3101439999999998</v>
      </c>
      <c r="V230" s="273">
        <f t="shared" si="17"/>
        <v>0.02</v>
      </c>
      <c r="W230" s="204">
        <f t="shared" si="18"/>
        <v>54.2</v>
      </c>
      <c r="X230" s="13">
        <f t="shared" si="21"/>
        <v>119.24000000000001</v>
      </c>
      <c r="Y230" s="9">
        <f t="shared" si="19"/>
        <v>97.018000000000001</v>
      </c>
      <c r="AA230" s="44">
        <f t="shared" si="22"/>
        <v>4.6202879999999995</v>
      </c>
      <c r="AB230" s="13">
        <f t="shared" si="23"/>
        <v>238.48000000000002</v>
      </c>
      <c r="AC230" s="99">
        <f t="shared" si="24"/>
        <v>194.036</v>
      </c>
    </row>
    <row r="231" spans="1:29" x14ac:dyDescent="0.35">
      <c r="D231" s="254"/>
      <c r="E231" s="254"/>
      <c r="G231" s="3"/>
      <c r="H231" s="22"/>
      <c r="I231" s="268"/>
      <c r="J231" s="7"/>
      <c r="K231" s="263"/>
      <c r="L231" s="263"/>
      <c r="M231" s="260"/>
      <c r="N231" s="267"/>
      <c r="O231" s="266"/>
      <c r="P231" s="262"/>
      <c r="R231" s="263"/>
      <c r="S231" s="263"/>
    </row>
    <row r="232" spans="1:29" s="88" customFormat="1" x14ac:dyDescent="0.35">
      <c r="A232" s="86" t="s">
        <v>9468</v>
      </c>
    </row>
    <row r="233" spans="1:29" x14ac:dyDescent="0.35">
      <c r="D233" s="254"/>
      <c r="E233" s="254"/>
      <c r="G233" s="3"/>
      <c r="H233" s="22"/>
      <c r="I233" s="268"/>
      <c r="J233" s="7"/>
      <c r="K233" s="263"/>
      <c r="L233" s="263"/>
      <c r="M233" s="260"/>
      <c r="N233" s="267"/>
      <c r="O233" s="266"/>
      <c r="P233" s="262"/>
      <c r="R233" s="263"/>
      <c r="S233" s="263"/>
    </row>
    <row r="234" spans="1:29" x14ac:dyDescent="0.35">
      <c r="B234" s="83" t="s">
        <v>9323</v>
      </c>
      <c r="D234" s="187" t="s">
        <v>9333</v>
      </c>
      <c r="G234" s="489" t="s">
        <v>9325</v>
      </c>
      <c r="H234" s="481"/>
      <c r="I234" s="489"/>
      <c r="J234" s="973"/>
      <c r="K234" s="974"/>
      <c r="L234" s="977"/>
      <c r="M234" s="975"/>
      <c r="N234" s="976"/>
      <c r="O234" s="976"/>
      <c r="P234" s="978"/>
      <c r="Q234" s="979"/>
      <c r="R234" s="980"/>
      <c r="S234" s="981"/>
      <c r="T234" s="489"/>
      <c r="U234" s="489"/>
      <c r="V234" s="489"/>
      <c r="W234" s="489"/>
    </row>
    <row r="235" spans="1:29" x14ac:dyDescent="0.35">
      <c r="G235" s="489" t="s">
        <v>9326</v>
      </c>
      <c r="H235" s="481"/>
      <c r="I235" s="489"/>
      <c r="J235" s="973"/>
      <c r="K235" s="974"/>
      <c r="L235" s="977"/>
      <c r="M235" s="975"/>
      <c r="N235" s="976"/>
      <c r="O235" s="976"/>
      <c r="P235" s="978"/>
      <c r="Q235" s="979"/>
      <c r="R235" s="980"/>
      <c r="S235" s="981"/>
      <c r="T235" s="489"/>
      <c r="U235" s="489"/>
      <c r="V235" s="489"/>
      <c r="W235" s="489"/>
    </row>
    <row r="236" spans="1:29" x14ac:dyDescent="0.35">
      <c r="G236" s="489"/>
      <c r="H236" s="481"/>
      <c r="I236" s="489"/>
      <c r="J236" s="973"/>
      <c r="K236" s="974"/>
      <c r="L236" s="977"/>
      <c r="M236" s="975"/>
      <c r="N236" s="976"/>
      <c r="O236" s="976"/>
      <c r="P236" s="978"/>
      <c r="Q236" s="979"/>
      <c r="R236" s="980"/>
      <c r="S236" s="981"/>
      <c r="T236" s="489"/>
      <c r="U236" s="489"/>
      <c r="V236" s="489"/>
      <c r="W236" s="489"/>
    </row>
    <row r="237" spans="1:29" x14ac:dyDescent="0.35">
      <c r="G237" s="489" t="s">
        <v>9327</v>
      </c>
      <c r="H237" s="481"/>
      <c r="I237" s="489"/>
      <c r="J237" s="973"/>
      <c r="K237" s="974"/>
      <c r="L237" s="977"/>
      <c r="M237" s="975"/>
      <c r="N237" s="976"/>
      <c r="O237" s="976"/>
      <c r="P237" s="978"/>
      <c r="Q237" s="979"/>
      <c r="R237" s="980"/>
      <c r="S237" s="981"/>
      <c r="T237" s="489"/>
      <c r="U237" s="489"/>
      <c r="V237" s="489"/>
      <c r="W237" s="489"/>
    </row>
    <row r="238" spans="1:29" x14ac:dyDescent="0.35">
      <c r="G238" s="489"/>
      <c r="H238" s="481"/>
      <c r="I238" s="489"/>
      <c r="J238" s="973"/>
      <c r="K238" s="974"/>
      <c r="L238" s="977"/>
      <c r="M238" s="975"/>
      <c r="N238" s="976"/>
      <c r="O238" s="976"/>
      <c r="P238" s="978"/>
      <c r="Q238" s="979"/>
      <c r="R238" s="980"/>
      <c r="S238" s="981"/>
      <c r="T238" s="489"/>
      <c r="U238" s="489"/>
      <c r="V238" s="489"/>
      <c r="W238" s="489"/>
    </row>
    <row r="239" spans="1:29" x14ac:dyDescent="0.35">
      <c r="D239" s="187" t="s">
        <v>2619</v>
      </c>
      <c r="G239" s="489" t="s">
        <v>9334</v>
      </c>
      <c r="H239" s="481"/>
      <c r="I239" s="489"/>
      <c r="J239" s="973"/>
      <c r="K239" s="974"/>
      <c r="L239" s="977"/>
      <c r="M239" s="975"/>
      <c r="N239" s="976"/>
      <c r="O239" s="976"/>
      <c r="P239" s="978"/>
      <c r="Q239" s="979"/>
      <c r="R239" s="489" t="s">
        <v>9328</v>
      </c>
      <c r="S239" s="981"/>
      <c r="T239" s="489"/>
      <c r="U239" s="489"/>
      <c r="V239" s="489"/>
      <c r="W239" s="489"/>
    </row>
    <row r="240" spans="1:29" x14ac:dyDescent="0.35">
      <c r="G240" s="489"/>
      <c r="H240" s="481"/>
      <c r="I240" s="489"/>
      <c r="J240" s="973"/>
      <c r="K240" s="974"/>
      <c r="L240" s="977"/>
      <c r="M240" s="975"/>
      <c r="N240" s="976"/>
      <c r="O240" s="976"/>
      <c r="P240" s="978"/>
      <c r="Q240" s="979"/>
      <c r="R240" s="980"/>
      <c r="S240" s="981"/>
      <c r="T240" s="489"/>
      <c r="U240" s="489"/>
      <c r="V240" s="489"/>
      <c r="W240" s="489"/>
    </row>
    <row r="241" spans="4:23" x14ac:dyDescent="0.35">
      <c r="G241" s="980" t="s">
        <v>9331</v>
      </c>
      <c r="H241" s="489"/>
      <c r="I241" s="489"/>
      <c r="J241" s="489"/>
      <c r="K241" s="489"/>
      <c r="L241" s="489"/>
      <c r="M241" s="489"/>
      <c r="N241" s="489"/>
      <c r="O241" s="489"/>
      <c r="P241" s="489"/>
      <c r="Q241" s="489"/>
      <c r="R241" s="489" t="s">
        <v>9329</v>
      </c>
      <c r="S241" s="981"/>
      <c r="T241" s="489"/>
      <c r="U241" s="489"/>
      <c r="V241" s="489"/>
      <c r="W241" s="489"/>
    </row>
    <row r="242" spans="4:23" x14ac:dyDescent="0.35">
      <c r="G242" s="980" t="s">
        <v>9332</v>
      </c>
      <c r="H242" s="489"/>
      <c r="I242" s="489"/>
      <c r="J242" s="489"/>
      <c r="K242" s="489"/>
      <c r="L242" s="489"/>
      <c r="M242" s="489"/>
      <c r="N242" s="489"/>
      <c r="O242" s="489"/>
      <c r="P242" s="489"/>
      <c r="Q242" s="489"/>
      <c r="R242" s="489" t="s">
        <v>9330</v>
      </c>
      <c r="S242" s="981"/>
      <c r="T242" s="489"/>
      <c r="U242" s="489"/>
      <c r="V242" s="489"/>
      <c r="W242" s="489"/>
    </row>
    <row r="243" spans="4:23" x14ac:dyDescent="0.35">
      <c r="G243" s="489"/>
      <c r="H243" s="489"/>
      <c r="I243" s="489"/>
      <c r="J243" s="489"/>
      <c r="K243" s="489"/>
      <c r="L243" s="489"/>
      <c r="M243" s="489"/>
      <c r="N243" s="489"/>
      <c r="O243" s="489"/>
      <c r="P243" s="489"/>
      <c r="Q243" s="489"/>
      <c r="R243" s="489"/>
      <c r="S243" s="489"/>
      <c r="T243" s="489"/>
      <c r="U243" s="489"/>
      <c r="V243" s="489"/>
      <c r="W243" s="489"/>
    </row>
    <row r="244" spans="4:23" x14ac:dyDescent="0.35">
      <c r="D244" s="187" t="s">
        <v>9340</v>
      </c>
      <c r="G244" s="489" t="s">
        <v>9336</v>
      </c>
      <c r="H244" s="489"/>
      <c r="I244" s="489"/>
      <c r="J244" s="489"/>
      <c r="K244" s="489"/>
      <c r="L244" s="489"/>
      <c r="M244" s="489"/>
      <c r="N244" s="489"/>
      <c r="O244" s="489"/>
      <c r="P244" s="489"/>
      <c r="Q244" s="489"/>
      <c r="R244" s="489"/>
      <c r="S244" s="489"/>
      <c r="T244" s="489"/>
      <c r="U244" s="489"/>
      <c r="V244" s="489"/>
      <c r="W244" s="489"/>
    </row>
    <row r="245" spans="4:23" x14ac:dyDescent="0.35">
      <c r="G245" s="489" t="s">
        <v>9337</v>
      </c>
      <c r="H245" s="489"/>
      <c r="I245" s="489"/>
      <c r="J245" s="489"/>
      <c r="K245" s="489"/>
      <c r="L245" s="489"/>
      <c r="M245" s="489"/>
      <c r="N245" s="489"/>
      <c r="O245" s="489"/>
      <c r="P245" s="489"/>
      <c r="Q245" s="489"/>
      <c r="R245" s="489"/>
      <c r="S245" s="489"/>
      <c r="T245" s="489"/>
      <c r="U245" s="489"/>
      <c r="V245" s="489"/>
      <c r="W245" s="489"/>
    </row>
    <row r="246" spans="4:23" x14ac:dyDescent="0.35">
      <c r="E246" s="254"/>
      <c r="G246" s="973"/>
      <c r="H246" s="974"/>
      <c r="I246" s="977"/>
      <c r="J246" s="975"/>
      <c r="K246" s="976"/>
      <c r="L246" s="976"/>
      <c r="M246" s="978"/>
      <c r="N246" s="979"/>
      <c r="O246" s="980"/>
      <c r="P246" s="981"/>
      <c r="Q246" s="489"/>
      <c r="R246" s="976"/>
      <c r="S246" s="976"/>
      <c r="T246" s="489"/>
      <c r="U246" s="489"/>
      <c r="V246" s="489"/>
      <c r="W246" s="489"/>
    </row>
    <row r="247" spans="4:23" x14ac:dyDescent="0.35">
      <c r="E247" s="254"/>
      <c r="G247" s="489" t="s">
        <v>9338</v>
      </c>
      <c r="H247" s="22"/>
      <c r="I247" s="268"/>
      <c r="J247" s="7"/>
      <c r="K247" s="263"/>
      <c r="L247" s="263"/>
      <c r="M247" s="260"/>
      <c r="N247" s="267"/>
      <c r="O247" s="266"/>
      <c r="P247" s="262"/>
      <c r="R247" s="263"/>
      <c r="S247" s="263"/>
    </row>
    <row r="248" spans="4:23" x14ac:dyDescent="0.35">
      <c r="E248" s="254"/>
      <c r="G248" s="489" t="s">
        <v>9339</v>
      </c>
      <c r="H248" s="22"/>
      <c r="I248" s="268"/>
      <c r="J248" s="7"/>
      <c r="K248" s="263"/>
      <c r="L248" s="263"/>
      <c r="M248" s="260"/>
      <c r="N248" s="267"/>
      <c r="O248" s="266"/>
      <c r="P248" s="262"/>
      <c r="R248" s="263"/>
      <c r="S248" s="263"/>
    </row>
    <row r="249" spans="4:23" x14ac:dyDescent="0.35">
      <c r="E249" s="254"/>
      <c r="G249" s="489"/>
      <c r="H249" s="22"/>
      <c r="I249" s="268"/>
      <c r="J249" s="7"/>
      <c r="K249" s="263"/>
      <c r="L249" s="263"/>
      <c r="M249" s="260"/>
      <c r="N249" s="267"/>
      <c r="O249" s="266"/>
      <c r="P249" s="262"/>
      <c r="R249" s="263"/>
      <c r="S249" s="263"/>
    </row>
    <row r="250" spans="4:23" x14ac:dyDescent="0.35">
      <c r="D250" s="187" t="s">
        <v>9341</v>
      </c>
      <c r="E250" s="254"/>
      <c r="G250" s="489" t="s">
        <v>9329</v>
      </c>
      <c r="H250" s="22"/>
      <c r="I250" s="268"/>
      <c r="J250" s="7"/>
      <c r="K250" s="263"/>
      <c r="L250" s="263"/>
      <c r="M250" s="260"/>
      <c r="N250" s="267"/>
      <c r="O250" s="266"/>
      <c r="P250" s="262"/>
      <c r="R250" s="263"/>
      <c r="S250" s="263"/>
    </row>
    <row r="251" spans="4:23" x14ac:dyDescent="0.35">
      <c r="D251" s="187" t="s">
        <v>9342</v>
      </c>
      <c r="E251" s="254"/>
      <c r="G251" s="489" t="s">
        <v>9330</v>
      </c>
      <c r="H251" s="22"/>
      <c r="I251" s="268"/>
      <c r="J251" s="7"/>
      <c r="K251" s="263"/>
      <c r="L251" s="263"/>
      <c r="M251" s="260"/>
      <c r="N251" s="267"/>
      <c r="O251" s="266"/>
      <c r="P251" s="262"/>
      <c r="R251" s="263"/>
      <c r="S251" s="263"/>
    </row>
    <row r="252" spans="4:23" x14ac:dyDescent="0.35">
      <c r="D252" s="187" t="s">
        <v>9344</v>
      </c>
      <c r="E252" s="254"/>
      <c r="G252" s="489"/>
      <c r="H252" s="22"/>
      <c r="I252" s="268"/>
      <c r="K252" s="263"/>
      <c r="L252" s="263"/>
      <c r="M252" s="260"/>
      <c r="N252" s="267"/>
      <c r="O252" s="266"/>
      <c r="P252" s="262"/>
      <c r="R252" s="263"/>
      <c r="S252" s="489" t="s">
        <v>9335</v>
      </c>
    </row>
    <row r="253" spans="4:23" x14ac:dyDescent="0.35">
      <c r="D253" s="187" t="s">
        <v>9345</v>
      </c>
      <c r="E253" s="254"/>
      <c r="G253" s="489" t="s">
        <v>9343</v>
      </c>
      <c r="H253" s="22"/>
      <c r="I253" s="268"/>
      <c r="K253" s="263"/>
      <c r="L253" s="263"/>
      <c r="M253" s="260"/>
      <c r="N253" s="267"/>
      <c r="O253" s="266"/>
      <c r="P253" s="262"/>
      <c r="R253" s="263"/>
      <c r="S253" s="263"/>
    </row>
    <row r="254" spans="4:23" x14ac:dyDescent="0.35">
      <c r="D254" s="187"/>
      <c r="E254" s="254"/>
      <c r="G254" s="489" t="s">
        <v>9346</v>
      </c>
      <c r="H254" s="22"/>
      <c r="I254" s="268"/>
      <c r="K254" s="263"/>
      <c r="L254" s="263"/>
      <c r="M254" s="260"/>
      <c r="N254" s="267"/>
      <c r="O254" s="266"/>
      <c r="P254" s="262"/>
      <c r="R254" s="263"/>
      <c r="S254" s="263"/>
    </row>
    <row r="255" spans="4:23" x14ac:dyDescent="0.35">
      <c r="E255" s="254"/>
      <c r="G255" s="489" t="s">
        <v>9347</v>
      </c>
      <c r="H255" s="22"/>
      <c r="I255" s="268"/>
      <c r="J255" s="7"/>
      <c r="K255" s="263"/>
      <c r="L255" s="263"/>
      <c r="M255" s="260"/>
      <c r="N255" s="267"/>
      <c r="O255" s="266"/>
      <c r="P255" s="262"/>
      <c r="R255" s="263"/>
      <c r="S255" s="263"/>
    </row>
    <row r="256" spans="4:23" x14ac:dyDescent="0.35">
      <c r="E256" s="254"/>
      <c r="H256" s="22"/>
      <c r="I256" s="268"/>
      <c r="J256" s="7"/>
      <c r="K256" s="263"/>
      <c r="L256" s="263"/>
      <c r="M256" s="260"/>
      <c r="N256" s="267"/>
      <c r="O256" s="266"/>
      <c r="P256" s="262"/>
      <c r="R256" s="263"/>
      <c r="S256" s="263"/>
    </row>
    <row r="257" spans="2:27" x14ac:dyDescent="0.35">
      <c r="B257" s="83" t="s">
        <v>9324</v>
      </c>
      <c r="D257" s="38" t="s">
        <v>9318</v>
      </c>
      <c r="E257" s="38" t="s">
        <v>9318</v>
      </c>
      <c r="G257" s="38" t="s">
        <v>9319</v>
      </c>
      <c r="H257" s="38" t="s">
        <v>9319</v>
      </c>
      <c r="J257" s="38" t="s">
        <v>9320</v>
      </c>
      <c r="L257" s="38" t="s">
        <v>9361</v>
      </c>
      <c r="N257" s="38" t="s">
        <v>9352</v>
      </c>
      <c r="P257" s="38" t="s">
        <v>9354</v>
      </c>
      <c r="R257" s="38" t="s">
        <v>9318</v>
      </c>
      <c r="S257" s="38" t="s">
        <v>9319</v>
      </c>
      <c r="U257" s="38" t="s">
        <v>9356</v>
      </c>
      <c r="W257" s="38" t="s">
        <v>9318</v>
      </c>
      <c r="X257" s="38" t="s">
        <v>9319</v>
      </c>
      <c r="Z257" s="38" t="s">
        <v>9318</v>
      </c>
      <c r="AA257" s="38" t="s">
        <v>9319</v>
      </c>
    </row>
    <row r="258" spans="2:27" ht="15" thickBot="1" x14ac:dyDescent="0.4">
      <c r="D258" s="39" t="s">
        <v>9350</v>
      </c>
      <c r="E258" s="39" t="s">
        <v>9351</v>
      </c>
      <c r="G258" s="39" t="s">
        <v>9348</v>
      </c>
      <c r="H258" s="39" t="s">
        <v>9349</v>
      </c>
      <c r="J258" s="39" t="s">
        <v>9321</v>
      </c>
      <c r="L258" s="39" t="s">
        <v>290</v>
      </c>
      <c r="N258" s="39" t="s">
        <v>9353</v>
      </c>
      <c r="P258" s="39" t="s">
        <v>9355</v>
      </c>
      <c r="R258" s="39" t="s">
        <v>9322</v>
      </c>
      <c r="S258" s="39" t="s">
        <v>9322</v>
      </c>
      <c r="U258" s="39" t="s">
        <v>2</v>
      </c>
      <c r="W258" s="39" t="s">
        <v>9357</v>
      </c>
      <c r="X258" s="39" t="s">
        <v>9358</v>
      </c>
      <c r="Z258" s="39" t="s">
        <v>9359</v>
      </c>
      <c r="AA258" s="39" t="s">
        <v>9360</v>
      </c>
    </row>
    <row r="259" spans="2:27" x14ac:dyDescent="0.35">
      <c r="D259" s="983">
        <v>10</v>
      </c>
      <c r="E259" s="270">
        <v>10</v>
      </c>
      <c r="F259" s="270"/>
      <c r="G259" s="984">
        <v>10</v>
      </c>
      <c r="H259" s="985">
        <v>10</v>
      </c>
      <c r="I259" s="270"/>
      <c r="J259" s="986">
        <v>1.2</v>
      </c>
      <c r="K259" s="270"/>
      <c r="L259" s="988">
        <v>1100</v>
      </c>
      <c r="N259" s="419">
        <f>SQRT(L259/J259)</f>
        <v>30.276503540974918</v>
      </c>
      <c r="P259" s="982">
        <f>J259*N259</f>
        <v>36.331804249169899</v>
      </c>
      <c r="R259" s="972">
        <f>SUM(D259:E259)</f>
        <v>20</v>
      </c>
      <c r="S259" s="972">
        <f>SUM(G259:H259)</f>
        <v>20</v>
      </c>
      <c r="U259" s="987">
        <v>0.5</v>
      </c>
      <c r="V259" s="254"/>
      <c r="W259" s="12">
        <f>P259*U259</f>
        <v>18.165902124584949</v>
      </c>
      <c r="X259" s="12">
        <f>P259-W259</f>
        <v>18.165902124584949</v>
      </c>
      <c r="Z259" s="12">
        <f>N259-R259</f>
        <v>10.276503540974918</v>
      </c>
      <c r="AA259" s="12">
        <f>N259-S259</f>
        <v>10.276503540974918</v>
      </c>
    </row>
    <row r="260" spans="2:27" x14ac:dyDescent="0.35">
      <c r="D260" s="983">
        <v>5</v>
      </c>
      <c r="E260" s="270">
        <v>5</v>
      </c>
      <c r="F260" s="270"/>
      <c r="G260" s="984">
        <v>5</v>
      </c>
      <c r="H260" s="985">
        <v>5</v>
      </c>
      <c r="I260" s="270"/>
      <c r="J260" s="986">
        <v>1.2</v>
      </c>
      <c r="K260" s="270"/>
      <c r="L260" s="988">
        <v>1000</v>
      </c>
      <c r="N260" s="419">
        <f>SQRT(L260/J260)</f>
        <v>28.867513459481287</v>
      </c>
      <c r="P260" s="982">
        <f>J260*N260</f>
        <v>34.641016151377542</v>
      </c>
      <c r="R260" s="972">
        <f>SUM(D260:E260)</f>
        <v>10</v>
      </c>
      <c r="S260" s="972">
        <f>SUM(G260:H260)</f>
        <v>10</v>
      </c>
      <c r="U260" s="987">
        <v>0.5</v>
      </c>
      <c r="V260" s="254"/>
      <c r="W260" s="12">
        <f>P260*U260</f>
        <v>17.320508075688771</v>
      </c>
      <c r="X260" s="12">
        <f>P260-W260</f>
        <v>17.320508075688771</v>
      </c>
      <c r="Z260" s="12">
        <f>N260-R260</f>
        <v>18.867513459481287</v>
      </c>
      <c r="AA260" s="12">
        <f>N260-S260</f>
        <v>18.867513459481287</v>
      </c>
    </row>
    <row r="261" spans="2:27" x14ac:dyDescent="0.35">
      <c r="D261" s="983"/>
      <c r="E261" s="270"/>
      <c r="F261" s="270"/>
      <c r="G261" s="984"/>
      <c r="H261" s="985"/>
      <c r="I261" s="270"/>
      <c r="J261" s="986"/>
      <c r="K261" s="270"/>
      <c r="L261" s="988"/>
      <c r="N261" s="419"/>
      <c r="P261" s="982"/>
      <c r="R261" s="972"/>
      <c r="S261" s="972"/>
      <c r="U261" s="987"/>
      <c r="V261" s="254"/>
      <c r="W261" s="12"/>
      <c r="X261" s="12"/>
      <c r="Z261" s="12"/>
      <c r="AA261" s="12"/>
    </row>
    <row r="262" spans="2:27" x14ac:dyDescent="0.35">
      <c r="B262" s="83" t="s">
        <v>9475</v>
      </c>
      <c r="D262" s="983"/>
      <c r="E262" s="270"/>
      <c r="F262" s="270"/>
      <c r="G262" s="984"/>
      <c r="H262" s="985"/>
      <c r="I262" s="270"/>
      <c r="J262" s="986"/>
      <c r="K262" s="270"/>
      <c r="L262" s="988"/>
      <c r="N262" s="419"/>
      <c r="P262" s="982"/>
      <c r="R262" s="972"/>
      <c r="S262" s="972"/>
      <c r="U262" s="987"/>
      <c r="V262" s="254"/>
      <c r="W262" s="12"/>
      <c r="X262" s="12"/>
      <c r="Z262" s="12"/>
      <c r="AA262" s="12"/>
    </row>
    <row r="263" spans="2:27" ht="15.5" x14ac:dyDescent="0.35">
      <c r="D263" s="993" t="s">
        <v>9477</v>
      </c>
      <c r="E263" s="270"/>
      <c r="F263" s="270"/>
      <c r="G263" s="984"/>
      <c r="H263" s="985"/>
      <c r="I263" s="270"/>
      <c r="J263" s="986"/>
      <c r="K263" s="270"/>
      <c r="L263" s="988"/>
      <c r="N263" s="419"/>
      <c r="P263" s="982"/>
      <c r="R263" s="972"/>
      <c r="S263" s="972"/>
      <c r="U263" s="987"/>
      <c r="V263" s="254"/>
      <c r="W263" s="12"/>
      <c r="X263" s="12"/>
      <c r="Z263" s="12"/>
      <c r="AA263" s="12"/>
    </row>
    <row r="264" spans="2:27" ht="15.5" x14ac:dyDescent="0.35">
      <c r="D264" s="993" t="s">
        <v>9478</v>
      </c>
      <c r="E264" s="270"/>
      <c r="F264" s="270"/>
      <c r="G264" s="984"/>
      <c r="H264" s="985"/>
      <c r="I264" s="270"/>
      <c r="J264" s="986"/>
      <c r="K264" s="270"/>
      <c r="L264" s="988"/>
      <c r="N264" s="419"/>
      <c r="P264" s="982"/>
      <c r="R264" s="972"/>
      <c r="S264" s="972"/>
      <c r="U264" s="987"/>
      <c r="V264" s="254"/>
      <c r="W264" s="12"/>
      <c r="X264" s="12"/>
      <c r="Z264" s="12"/>
      <c r="AA264" s="12"/>
    </row>
    <row r="265" spans="2:27" ht="15.5" x14ac:dyDescent="0.35">
      <c r="D265" s="993" t="s">
        <v>9474</v>
      </c>
      <c r="E265" s="270"/>
      <c r="F265" s="270"/>
      <c r="G265" s="984"/>
      <c r="H265" s="985"/>
      <c r="I265" s="270"/>
      <c r="J265" s="986"/>
      <c r="K265" s="270"/>
      <c r="L265" s="988"/>
      <c r="N265" s="419"/>
      <c r="P265" s="982"/>
      <c r="R265" s="972"/>
      <c r="S265" s="972"/>
      <c r="U265" s="987"/>
      <c r="V265" s="254"/>
      <c r="W265" s="12"/>
      <c r="X265" s="12"/>
      <c r="Z265" s="12"/>
      <c r="AA265" s="12"/>
    </row>
    <row r="266" spans="2:27" ht="15.5" x14ac:dyDescent="0.35">
      <c r="D266" s="993" t="s">
        <v>9469</v>
      </c>
      <c r="E266" s="270"/>
      <c r="F266" s="270"/>
      <c r="G266" s="984"/>
      <c r="H266" s="985"/>
      <c r="I266" s="270"/>
      <c r="J266" s="986"/>
      <c r="K266" s="270"/>
      <c r="L266" s="988"/>
      <c r="N266" s="419"/>
      <c r="P266" s="982"/>
      <c r="R266" s="972"/>
      <c r="S266" s="972"/>
      <c r="U266" s="987"/>
      <c r="V266" s="254"/>
      <c r="W266" s="12"/>
      <c r="X266" s="12"/>
      <c r="Z266" s="12"/>
      <c r="AA266" s="12"/>
    </row>
    <row r="267" spans="2:27" ht="15.5" x14ac:dyDescent="0.35">
      <c r="D267" s="993" t="s">
        <v>9470</v>
      </c>
      <c r="E267" s="270"/>
      <c r="F267" s="270"/>
      <c r="G267" s="984"/>
      <c r="H267" s="985"/>
      <c r="I267" s="270"/>
      <c r="J267" s="986"/>
      <c r="K267" s="270"/>
      <c r="L267" s="988"/>
      <c r="N267" s="419"/>
      <c r="P267" s="982"/>
      <c r="R267" s="972"/>
      <c r="S267" s="972"/>
      <c r="U267" s="987"/>
      <c r="V267" s="254"/>
      <c r="W267" s="12"/>
      <c r="X267" s="12"/>
      <c r="Z267" s="12"/>
      <c r="AA267" s="12"/>
    </row>
    <row r="268" spans="2:27" ht="15.5" x14ac:dyDescent="0.35">
      <c r="D268" s="993" t="s">
        <v>9471</v>
      </c>
      <c r="E268" s="270"/>
      <c r="F268" s="270"/>
      <c r="G268" s="984"/>
      <c r="H268" s="985"/>
      <c r="I268" s="270"/>
      <c r="J268" s="986"/>
      <c r="K268" s="270"/>
      <c r="L268" s="988"/>
      <c r="N268" s="419"/>
      <c r="P268" s="982"/>
      <c r="R268" s="972"/>
      <c r="S268" s="972"/>
      <c r="U268" s="987"/>
      <c r="V268" s="254"/>
      <c r="W268" s="12"/>
      <c r="X268" s="12"/>
      <c r="Z268" s="12"/>
      <c r="AA268" s="12"/>
    </row>
    <row r="269" spans="2:27" ht="15.5" x14ac:dyDescent="0.35">
      <c r="D269" s="993" t="s">
        <v>9472</v>
      </c>
      <c r="E269" s="270"/>
      <c r="F269" s="270"/>
      <c r="G269" s="984"/>
      <c r="H269" s="985"/>
      <c r="I269" s="270"/>
      <c r="J269" s="986"/>
      <c r="K269" s="270"/>
      <c r="L269" s="988"/>
      <c r="N269" s="419"/>
      <c r="P269" s="982"/>
      <c r="R269" s="972"/>
      <c r="S269" s="972"/>
      <c r="U269" s="987"/>
      <c r="V269" s="254"/>
      <c r="W269" s="12"/>
      <c r="X269" s="12"/>
      <c r="Z269" s="12"/>
      <c r="AA269" s="12"/>
    </row>
    <row r="270" spans="2:27" ht="15.5" x14ac:dyDescent="0.35">
      <c r="D270" s="993" t="s">
        <v>9473</v>
      </c>
      <c r="E270" s="270"/>
      <c r="F270" s="270"/>
      <c r="G270" s="984"/>
      <c r="H270" s="985"/>
      <c r="I270" s="270"/>
      <c r="J270" s="986"/>
      <c r="K270" s="270"/>
      <c r="L270" s="988"/>
      <c r="N270" s="419"/>
      <c r="P270" s="982"/>
      <c r="R270" s="972"/>
      <c r="S270" s="972"/>
      <c r="U270" s="987"/>
      <c r="V270" s="254"/>
      <c r="W270" s="12"/>
      <c r="X270" s="12"/>
      <c r="Z270" s="12"/>
      <c r="AA270" s="12"/>
    </row>
    <row r="271" spans="2:27" ht="15.5" x14ac:dyDescent="0.35">
      <c r="D271" s="993"/>
      <c r="E271" s="270"/>
      <c r="F271" s="270"/>
      <c r="G271" s="984"/>
      <c r="H271" s="985"/>
      <c r="I271" s="270"/>
      <c r="J271" s="986"/>
      <c r="K271" s="270"/>
      <c r="L271" s="988"/>
      <c r="N271" s="419"/>
      <c r="P271" s="982"/>
      <c r="R271" s="972"/>
      <c r="S271" s="972"/>
      <c r="U271" s="987"/>
      <c r="V271" s="254"/>
      <c r="W271" s="12"/>
      <c r="X271" s="12"/>
      <c r="Z271" s="12"/>
      <c r="AA271" s="12"/>
    </row>
    <row r="272" spans="2:27" ht="15.5" x14ac:dyDescent="0.35">
      <c r="B272" s="83" t="s">
        <v>9476</v>
      </c>
      <c r="D272" s="993"/>
      <c r="E272" s="270"/>
      <c r="F272" s="270"/>
      <c r="G272" s="984"/>
      <c r="H272" s="985"/>
      <c r="I272" s="270"/>
      <c r="J272" s="986"/>
      <c r="K272" s="270"/>
      <c r="L272" s="988"/>
      <c r="N272" s="419"/>
      <c r="P272" s="982"/>
      <c r="R272" s="972"/>
      <c r="S272" s="972"/>
      <c r="U272" s="987"/>
      <c r="V272" s="254"/>
      <c r="W272" s="12"/>
      <c r="X272" s="12"/>
      <c r="Z272" s="12"/>
      <c r="AA272" s="12"/>
    </row>
    <row r="273" spans="1:27" ht="15.5" x14ac:dyDescent="0.35">
      <c r="D273" s="993" t="s">
        <v>9479</v>
      </c>
      <c r="E273" s="270"/>
      <c r="F273" s="270"/>
      <c r="G273" s="984"/>
      <c r="H273" s="985"/>
      <c r="I273" s="270"/>
      <c r="J273" s="986"/>
      <c r="K273" s="270"/>
      <c r="L273" s="988"/>
      <c r="N273" s="419"/>
      <c r="P273" s="982"/>
      <c r="R273" s="972"/>
      <c r="S273" s="972"/>
      <c r="U273" s="987"/>
      <c r="V273" s="254"/>
      <c r="W273" s="12"/>
      <c r="X273" s="12"/>
      <c r="Z273" s="12"/>
      <c r="AA273" s="12"/>
    </row>
    <row r="275" spans="1:27" s="88" customFormat="1" x14ac:dyDescent="0.35">
      <c r="A275" s="86" t="s">
        <v>649</v>
      </c>
    </row>
    <row r="277" spans="1:27" x14ac:dyDescent="0.35">
      <c r="B277" s="83" t="s">
        <v>354</v>
      </c>
      <c r="C277" t="s">
        <v>353</v>
      </c>
      <c r="E277">
        <v>33</v>
      </c>
      <c r="F277" t="s">
        <v>351</v>
      </c>
    </row>
    <row r="278" spans="1:27" x14ac:dyDescent="0.35">
      <c r="E278" s="13">
        <f>E277*0.304</f>
        <v>10.032</v>
      </c>
      <c r="F278" t="s">
        <v>352</v>
      </c>
    </row>
    <row r="279" spans="1:27" x14ac:dyDescent="0.35">
      <c r="C279" t="s">
        <v>355</v>
      </c>
      <c r="E279">
        <v>33</v>
      </c>
      <c r="F279" t="s">
        <v>351</v>
      </c>
    </row>
    <row r="280" spans="1:27" x14ac:dyDescent="0.35">
      <c r="E280" s="13">
        <f>E279*0.304</f>
        <v>10.032</v>
      </c>
      <c r="F280" t="s">
        <v>352</v>
      </c>
    </row>
    <row r="281" spans="1:27" x14ac:dyDescent="0.35">
      <c r="C281" t="s">
        <v>451</v>
      </c>
      <c r="E281">
        <v>2</v>
      </c>
    </row>
    <row r="282" spans="1:27" x14ac:dyDescent="0.35">
      <c r="C282" t="s">
        <v>452</v>
      </c>
      <c r="E282">
        <f>E281*E279*E277</f>
        <v>2178</v>
      </c>
      <c r="F282" t="s">
        <v>356</v>
      </c>
    </row>
    <row r="283" spans="1:27" x14ac:dyDescent="0.35">
      <c r="E283" s="15">
        <f>E281*E280*E278</f>
        <v>201.282048</v>
      </c>
      <c r="F283" t="s">
        <v>357</v>
      </c>
    </row>
    <row r="285" spans="1:27" x14ac:dyDescent="0.35">
      <c r="B285" s="83" t="s">
        <v>265</v>
      </c>
      <c r="C285" t="s">
        <v>358</v>
      </c>
      <c r="E285">
        <f>E277*E279</f>
        <v>1089</v>
      </c>
      <c r="F285" t="s">
        <v>356</v>
      </c>
    </row>
    <row r="286" spans="1:27" x14ac:dyDescent="0.35">
      <c r="E286" s="13">
        <f>E278*E280</f>
        <v>100.641024</v>
      </c>
      <c r="F286" t="s">
        <v>357</v>
      </c>
    </row>
    <row r="287" spans="1:27" x14ac:dyDescent="0.35">
      <c r="E287" s="13"/>
    </row>
    <row r="288" spans="1:27" s="88" customFormat="1" x14ac:dyDescent="0.35">
      <c r="A288" s="86" t="s">
        <v>648</v>
      </c>
    </row>
    <row r="290" spans="2:9" x14ac:dyDescent="0.35">
      <c r="B290" s="83" t="s">
        <v>647</v>
      </c>
    </row>
    <row r="291" spans="2:9" x14ac:dyDescent="0.35">
      <c r="C291" t="s">
        <v>627</v>
      </c>
      <c r="D291" s="19"/>
      <c r="F291" s="44">
        <f>D169/1000</f>
        <v>13.682516215959694</v>
      </c>
      <c r="H291" t="s">
        <v>630</v>
      </c>
    </row>
    <row r="292" spans="2:9" x14ac:dyDescent="0.35">
      <c r="C292" t="s">
        <v>628</v>
      </c>
      <c r="D292" s="19"/>
      <c r="F292" s="48">
        <v>4</v>
      </c>
    </row>
    <row r="293" spans="2:9" x14ac:dyDescent="0.35">
      <c r="C293" t="s">
        <v>629</v>
      </c>
      <c r="D293" s="19"/>
      <c r="F293" s="48">
        <f>F291*F292</f>
        <v>54.730064863838777</v>
      </c>
      <c r="H293" t="s">
        <v>631</v>
      </c>
    </row>
    <row r="294" spans="2:9" x14ac:dyDescent="0.35">
      <c r="C294" t="s">
        <v>632</v>
      </c>
      <c r="D294" s="19"/>
      <c r="F294" s="48">
        <v>220</v>
      </c>
    </row>
    <row r="295" spans="2:9" x14ac:dyDescent="0.35">
      <c r="D295" t="s">
        <v>634</v>
      </c>
      <c r="F295" s="48">
        <v>50</v>
      </c>
    </row>
    <row r="296" spans="2:9" x14ac:dyDescent="0.35">
      <c r="C296" t="s">
        <v>633</v>
      </c>
      <c r="D296" s="19"/>
      <c r="F296" s="44">
        <f>F293/F295</f>
        <v>1.0946012972767756</v>
      </c>
    </row>
    <row r="297" spans="2:9" x14ac:dyDescent="0.35">
      <c r="D297" s="19"/>
      <c r="F297" s="44"/>
    </row>
    <row r="298" spans="2:9" ht="36.5" x14ac:dyDescent="0.35">
      <c r="F298" s="113" t="s">
        <v>625</v>
      </c>
      <c r="G298" s="113" t="s">
        <v>621</v>
      </c>
      <c r="H298" s="113" t="s">
        <v>642</v>
      </c>
      <c r="I298" s="113" t="s">
        <v>645</v>
      </c>
    </row>
    <row r="299" spans="2:9" x14ac:dyDescent="0.35">
      <c r="B299" s="83" t="s">
        <v>294</v>
      </c>
      <c r="C299" t="s">
        <v>353</v>
      </c>
      <c r="D299" t="s">
        <v>351</v>
      </c>
      <c r="F299" s="13">
        <f>(SQRT(100)*SQRT(10.7))</f>
        <v>32.710854467592249</v>
      </c>
      <c r="G299">
        <v>180</v>
      </c>
      <c r="H299">
        <v>60</v>
      </c>
    </row>
    <row r="300" spans="2:9" x14ac:dyDescent="0.35">
      <c r="C300" t="s">
        <v>37</v>
      </c>
      <c r="D300" s="4" t="s">
        <v>351</v>
      </c>
      <c r="F300" s="118">
        <f>F299</f>
        <v>32.710854467592249</v>
      </c>
      <c r="G300" s="4">
        <v>240</v>
      </c>
      <c r="H300" s="116">
        <f>(180/H299)*G300*G315</f>
        <v>16292.081306408392</v>
      </c>
      <c r="I300" s="4"/>
    </row>
    <row r="301" spans="2:9" x14ac:dyDescent="0.35">
      <c r="C301" t="s">
        <v>507</v>
      </c>
      <c r="D301" s="19" t="s">
        <v>626</v>
      </c>
      <c r="F301" s="117">
        <f>F300*F299/1000</f>
        <v>1.0699999999999998</v>
      </c>
      <c r="G301" s="117">
        <f t="shared" ref="G301" si="45">G300*G299/1000</f>
        <v>43.2</v>
      </c>
      <c r="H301" s="117">
        <f>H300*H299/1000</f>
        <v>977.52487838450349</v>
      </c>
      <c r="I301" s="119">
        <f>H301*G320</f>
        <v>5865149.2703070212</v>
      </c>
    </row>
    <row r="302" spans="2:9" x14ac:dyDescent="0.35">
      <c r="D302" s="19"/>
      <c r="F302" s="117"/>
      <c r="G302" s="117"/>
      <c r="H302" s="117"/>
    </row>
    <row r="303" spans="2:9" x14ac:dyDescent="0.35">
      <c r="C303" t="s">
        <v>635</v>
      </c>
      <c r="D303" s="19"/>
      <c r="F303" s="117"/>
      <c r="G303" s="117">
        <f>G301/F301</f>
        <v>40.373831775700943</v>
      </c>
      <c r="H303" s="117">
        <f>H301/G301</f>
        <v>22.627890703344988</v>
      </c>
      <c r="I303" s="117">
        <f>I301/H301</f>
        <v>6000</v>
      </c>
    </row>
    <row r="304" spans="2:9" x14ac:dyDescent="0.35">
      <c r="D304" s="19"/>
      <c r="G304" s="34"/>
      <c r="H304" s="110"/>
    </row>
    <row r="305" spans="2:11" x14ac:dyDescent="0.35">
      <c r="C305" t="s">
        <v>37</v>
      </c>
      <c r="D305" s="19" t="s">
        <v>623</v>
      </c>
      <c r="G305" s="115">
        <f>G300/5280</f>
        <v>4.5454545454545456E-2</v>
      </c>
      <c r="H305" s="115">
        <f>H300/5280</f>
        <v>3.0856214595470441</v>
      </c>
      <c r="I305" s="115"/>
    </row>
    <row r="306" spans="2:11" x14ac:dyDescent="0.35">
      <c r="D306" s="19"/>
      <c r="G306" s="115"/>
      <c r="H306" s="115"/>
    </row>
    <row r="307" spans="2:11" x14ac:dyDescent="0.35">
      <c r="C307" t="str">
        <f>C296</f>
        <v># of tesla3's that we charge/day</v>
      </c>
      <c r="F307" s="44">
        <f>F296</f>
        <v>1.0946012972767756</v>
      </c>
      <c r="G307" s="115">
        <f>G303*F307</f>
        <v>44.193248637716557</v>
      </c>
      <c r="H307" s="20">
        <f>H303*G307</f>
        <v>1000.0000000000001</v>
      </c>
      <c r="I307" s="112">
        <f>I303*H307</f>
        <v>6000000.0000000009</v>
      </c>
    </row>
    <row r="308" spans="2:11" x14ac:dyDescent="0.35">
      <c r="C308" t="s">
        <v>643</v>
      </c>
      <c r="F308" s="120">
        <f>F307*$F$294/1000000</f>
        <v>2.4081228540089064E-4</v>
      </c>
      <c r="G308" s="120">
        <f>G307*$F$294/1000000</f>
        <v>9.7225147002976426E-3</v>
      </c>
      <c r="H308" s="61">
        <f>H307*$F$294/1000000</f>
        <v>0.22000000000000003</v>
      </c>
      <c r="I308" s="121">
        <f>I307*$F$294/1000000</f>
        <v>1320.0000000000002</v>
      </c>
    </row>
    <row r="309" spans="2:11" x14ac:dyDescent="0.35">
      <c r="C309" t="s">
        <v>644</v>
      </c>
      <c r="F309" s="120">
        <f>F308*365</f>
        <v>8.7896484171325076E-2</v>
      </c>
      <c r="G309" s="120">
        <f>G308*365</f>
        <v>3.5487178656086393</v>
      </c>
      <c r="H309" s="61">
        <f>H308*365</f>
        <v>80.300000000000011</v>
      </c>
      <c r="I309" s="121">
        <f>I308*365</f>
        <v>481800.00000000006</v>
      </c>
      <c r="K309" t="s">
        <v>646</v>
      </c>
    </row>
    <row r="310" spans="2:11" x14ac:dyDescent="0.35">
      <c r="G310" s="115"/>
      <c r="H310" s="115"/>
    </row>
    <row r="311" spans="2:11" x14ac:dyDescent="0.35">
      <c r="B311" s="83" t="s">
        <v>620</v>
      </c>
      <c r="C311" t="s">
        <v>622</v>
      </c>
      <c r="G311" s="37">
        <f>G301*$D194/1000</f>
        <v>0.35296822429906549</v>
      </c>
      <c r="H311" s="37">
        <f>H301*$D194/1000</f>
        <v>7.9869264011930117</v>
      </c>
      <c r="I311" s="111">
        <f>I301*$D194/1000</f>
        <v>47921.558407158074</v>
      </c>
    </row>
    <row r="312" spans="2:11" x14ac:dyDescent="0.35">
      <c r="G312" s="115"/>
      <c r="H312" s="115"/>
    </row>
    <row r="313" spans="2:11" x14ac:dyDescent="0.35">
      <c r="B313" s="83" t="s">
        <v>638</v>
      </c>
      <c r="G313" s="114"/>
      <c r="H313" s="109"/>
    </row>
    <row r="314" spans="2:11" x14ac:dyDescent="0.35">
      <c r="C314" t="s">
        <v>624</v>
      </c>
      <c r="G314">
        <v>1000</v>
      </c>
    </row>
    <row r="315" spans="2:11" x14ac:dyDescent="0.35">
      <c r="C315" t="s">
        <v>636</v>
      </c>
      <c r="F315" s="111"/>
      <c r="G315" s="48">
        <f>G314/G307</f>
        <v>22.627890703344988</v>
      </c>
    </row>
    <row r="316" spans="2:11" x14ac:dyDescent="0.35">
      <c r="F316" s="111"/>
    </row>
    <row r="317" spans="2:11" x14ac:dyDescent="0.35">
      <c r="B317" s="83" t="s">
        <v>637</v>
      </c>
      <c r="F317" s="111"/>
    </row>
    <row r="318" spans="2:11" x14ac:dyDescent="0.35">
      <c r="C318" t="s">
        <v>639</v>
      </c>
      <c r="F318" s="111"/>
      <c r="G318">
        <v>48000</v>
      </c>
      <c r="H318" t="s">
        <v>623</v>
      </c>
    </row>
    <row r="319" spans="2:11" x14ac:dyDescent="0.35">
      <c r="C319" t="s">
        <v>640</v>
      </c>
      <c r="F319" s="111"/>
      <c r="G319">
        <v>8</v>
      </c>
      <c r="H319" t="s">
        <v>623</v>
      </c>
    </row>
    <row r="320" spans="2:11" x14ac:dyDescent="0.35">
      <c r="C320" t="s">
        <v>641</v>
      </c>
      <c r="F320" s="111"/>
      <c r="G320">
        <f>G318/G319</f>
        <v>6000</v>
      </c>
    </row>
    <row r="323" spans="1:11" s="88" customFormat="1" x14ac:dyDescent="0.35">
      <c r="A323" s="86" t="s">
        <v>898</v>
      </c>
    </row>
    <row r="325" spans="1:11" x14ac:dyDescent="0.35">
      <c r="B325" s="83" t="s">
        <v>907</v>
      </c>
      <c r="C325" s="95">
        <f>H325*I325/144</f>
        <v>20</v>
      </c>
      <c r="D325" s="95" t="s">
        <v>900</v>
      </c>
      <c r="E325" s="95"/>
      <c r="G325" s="73" t="s">
        <v>899</v>
      </c>
      <c r="H325" s="83">
        <v>72</v>
      </c>
      <c r="I325">
        <v>40</v>
      </c>
    </row>
    <row r="326" spans="1:11" x14ac:dyDescent="0.35">
      <c r="C326" s="95">
        <v>2000</v>
      </c>
      <c r="D326" s="95" t="s">
        <v>901</v>
      </c>
      <c r="E326" s="95"/>
    </row>
    <row r="327" spans="1:11" x14ac:dyDescent="0.35">
      <c r="C327" s="95">
        <f>C326/C325</f>
        <v>100</v>
      </c>
      <c r="D327" s="95" t="s">
        <v>902</v>
      </c>
      <c r="E327" s="95"/>
    </row>
    <row r="328" spans="1:11" x14ac:dyDescent="0.35">
      <c r="C328" s="95"/>
      <c r="D328" s="95"/>
      <c r="E328" s="95"/>
    </row>
    <row r="329" spans="1:11" x14ac:dyDescent="0.35">
      <c r="B329" s="83" t="s">
        <v>908</v>
      </c>
      <c r="C329" s="95" t="s">
        <v>904</v>
      </c>
      <c r="D329" s="95"/>
      <c r="E329" s="95"/>
      <c r="K329" s="1" t="s">
        <v>903</v>
      </c>
    </row>
    <row r="330" spans="1:11" x14ac:dyDescent="0.35">
      <c r="C330" s="95" t="s">
        <v>906</v>
      </c>
      <c r="D330" s="95"/>
      <c r="E330" s="95"/>
      <c r="K330" s="1" t="s">
        <v>905</v>
      </c>
    </row>
    <row r="331" spans="1:11" x14ac:dyDescent="0.35">
      <c r="C331" t="s">
        <v>910</v>
      </c>
      <c r="K331" s="1" t="s">
        <v>909</v>
      </c>
    </row>
    <row r="332" spans="1:11" x14ac:dyDescent="0.35">
      <c r="C332" s="95" t="s">
        <v>912</v>
      </c>
      <c r="K332" s="1" t="s">
        <v>911</v>
      </c>
    </row>
    <row r="334" spans="1:11" s="88" customFormat="1" x14ac:dyDescent="0.35">
      <c r="A334" s="86" t="s">
        <v>1309</v>
      </c>
    </row>
    <row r="336" spans="1:11" x14ac:dyDescent="0.35">
      <c r="B336" s="83" t="s">
        <v>1310</v>
      </c>
    </row>
    <row r="337" spans="2:9" x14ac:dyDescent="0.35">
      <c r="C337" t="s">
        <v>502</v>
      </c>
      <c r="E337" t="s">
        <v>351</v>
      </c>
      <c r="F337" s="15">
        <v>3</v>
      </c>
    </row>
    <row r="338" spans="2:9" x14ac:dyDescent="0.35">
      <c r="C338" t="s">
        <v>37</v>
      </c>
      <c r="E338" t="s">
        <v>351</v>
      </c>
      <c r="F338" s="15">
        <v>8</v>
      </c>
    </row>
    <row r="339" spans="2:9" x14ac:dyDescent="0.35">
      <c r="C339" t="s">
        <v>1271</v>
      </c>
      <c r="E339" t="s">
        <v>1311</v>
      </c>
      <c r="F339" s="15">
        <f>((F337/2)^2)*3.14*F338</f>
        <v>56.52</v>
      </c>
    </row>
    <row r="340" spans="2:9" x14ac:dyDescent="0.35">
      <c r="C340" t="s">
        <v>1149</v>
      </c>
      <c r="E340" t="s">
        <v>1149</v>
      </c>
      <c r="F340" s="15">
        <f>8*F339</f>
        <v>452.16</v>
      </c>
    </row>
    <row r="341" spans="2:9" x14ac:dyDescent="0.35">
      <c r="F341" s="15"/>
    </row>
    <row r="342" spans="2:9" x14ac:dyDescent="0.35">
      <c r="B342" s="83" t="s">
        <v>1312</v>
      </c>
    </row>
    <row r="343" spans="2:9" x14ac:dyDescent="0.35">
      <c r="C343" t="s">
        <v>285</v>
      </c>
      <c r="E343" t="s">
        <v>351</v>
      </c>
      <c r="F343">
        <v>2</v>
      </c>
    </row>
    <row r="345" spans="2:9" x14ac:dyDescent="0.35">
      <c r="B345" s="83" t="s">
        <v>1313</v>
      </c>
    </row>
    <row r="346" spans="2:9" x14ac:dyDescent="0.35">
      <c r="C346" t="s">
        <v>502</v>
      </c>
      <c r="E346" t="s">
        <v>351</v>
      </c>
      <c r="F346" s="15">
        <f>F343*2+F337</f>
        <v>7</v>
      </c>
    </row>
    <row r="347" spans="2:9" x14ac:dyDescent="0.35">
      <c r="C347" t="s">
        <v>37</v>
      </c>
      <c r="E347" t="s">
        <v>351</v>
      </c>
      <c r="F347" s="15">
        <f>F338+2*F343</f>
        <v>12</v>
      </c>
    </row>
    <row r="348" spans="2:9" x14ac:dyDescent="0.35">
      <c r="C348" t="s">
        <v>1271</v>
      </c>
      <c r="E348" t="s">
        <v>1311</v>
      </c>
      <c r="F348" s="15">
        <f>((F346/2)^2)*3.14*F347</f>
        <v>461.58000000000004</v>
      </c>
    </row>
    <row r="350" spans="2:9" x14ac:dyDescent="0.35">
      <c r="B350" s="83" t="s">
        <v>939</v>
      </c>
    </row>
    <row r="351" spans="2:9" x14ac:dyDescent="0.35">
      <c r="C351" t="s">
        <v>1271</v>
      </c>
      <c r="F351" s="15">
        <f>F348-F339</f>
        <v>405.06000000000006</v>
      </c>
    </row>
    <row r="352" spans="2:9" x14ac:dyDescent="0.35">
      <c r="C352" t="s">
        <v>1315</v>
      </c>
      <c r="F352" s="127">
        <v>3</v>
      </c>
      <c r="G352" t="s">
        <v>967</v>
      </c>
      <c r="H352" t="s">
        <v>908</v>
      </c>
      <c r="I352" s="1" t="s">
        <v>1317</v>
      </c>
    </row>
    <row r="353" spans="1:10" x14ac:dyDescent="0.35">
      <c r="C353" t="s">
        <v>1316</v>
      </c>
      <c r="F353" s="127">
        <f>F352*F351</f>
        <v>1215.1800000000003</v>
      </c>
      <c r="I353" s="1"/>
    </row>
    <row r="355" spans="1:10" x14ac:dyDescent="0.35">
      <c r="B355" s="83" t="s">
        <v>1318</v>
      </c>
    </row>
    <row r="356" spans="1:10" x14ac:dyDescent="0.35">
      <c r="C356" t="s">
        <v>1319</v>
      </c>
      <c r="F356">
        <v>3.5</v>
      </c>
    </row>
    <row r="357" spans="1:10" x14ac:dyDescent="0.35">
      <c r="C357" t="s">
        <v>938</v>
      </c>
      <c r="F357">
        <f>F356*F343*12</f>
        <v>84</v>
      </c>
    </row>
    <row r="359" spans="1:10" s="88" customFormat="1" x14ac:dyDescent="0.35">
      <c r="A359" s="86" t="s">
        <v>1324</v>
      </c>
    </row>
    <row r="360" spans="1:10" x14ac:dyDescent="0.35">
      <c r="B360" s="95"/>
      <c r="C360" s="95"/>
      <c r="D360" s="95"/>
      <c r="E360" s="95"/>
      <c r="F360" s="95"/>
      <c r="G360" s="95"/>
      <c r="H360" s="95"/>
    </row>
    <row r="361" spans="1:10" x14ac:dyDescent="0.35">
      <c r="B361" s="83" t="s">
        <v>978</v>
      </c>
      <c r="C361" s="95" t="s">
        <v>1326</v>
      </c>
      <c r="D361" s="95"/>
      <c r="E361" s="95"/>
      <c r="F361" s="95"/>
      <c r="G361" s="95"/>
      <c r="H361" s="95"/>
      <c r="I361" s="95"/>
      <c r="J361" s="1" t="s">
        <v>1325</v>
      </c>
    </row>
    <row r="362" spans="1:10" x14ac:dyDescent="0.35">
      <c r="C362" s="95" t="s">
        <v>1328</v>
      </c>
      <c r="D362" s="95"/>
      <c r="E362" s="95"/>
      <c r="F362" s="95"/>
      <c r="G362" s="95"/>
      <c r="H362" s="95"/>
      <c r="I362" s="95"/>
      <c r="J362" s="1" t="s">
        <v>1327</v>
      </c>
    </row>
    <row r="363" spans="1:10" x14ac:dyDescent="0.35">
      <c r="C363" s="95" t="s">
        <v>1329</v>
      </c>
      <c r="D363" s="95"/>
      <c r="E363" s="95"/>
      <c r="F363" s="95"/>
      <c r="G363" s="95"/>
      <c r="H363" s="95"/>
      <c r="I363" s="95"/>
    </row>
    <row r="364" spans="1:10" x14ac:dyDescent="0.35">
      <c r="C364" s="95" t="s">
        <v>1331</v>
      </c>
      <c r="D364" s="95"/>
      <c r="E364" s="95"/>
      <c r="F364" s="95"/>
      <c r="G364" s="95"/>
      <c r="H364" s="95"/>
      <c r="I364" s="95"/>
      <c r="J364" s="1" t="s">
        <v>1330</v>
      </c>
    </row>
    <row r="365" spans="1:10" x14ac:dyDescent="0.35">
      <c r="C365" s="95"/>
      <c r="D365" s="95" t="s">
        <v>1332</v>
      </c>
      <c r="E365" s="95"/>
      <c r="F365" s="95"/>
      <c r="G365" s="95"/>
      <c r="H365" s="95"/>
      <c r="I365" s="95"/>
    </row>
    <row r="366" spans="1:10" x14ac:dyDescent="0.35">
      <c r="C366" s="95"/>
      <c r="D366" s="95" t="s">
        <v>1333</v>
      </c>
      <c r="E366" s="95"/>
      <c r="F366" s="95"/>
      <c r="G366" s="95"/>
      <c r="H366" s="95"/>
      <c r="I366" s="95"/>
    </row>
    <row r="367" spans="1:10" x14ac:dyDescent="0.35">
      <c r="B367" s="95"/>
      <c r="C367" s="95" t="s">
        <v>1339</v>
      </c>
      <c r="D367" s="95"/>
      <c r="E367" s="95"/>
      <c r="F367" s="95"/>
      <c r="G367" s="95"/>
      <c r="H367" s="95"/>
      <c r="J367" s="1" t="s">
        <v>1338</v>
      </c>
    </row>
    <row r="368" spans="1:10" x14ac:dyDescent="0.35">
      <c r="B368" s="95"/>
      <c r="C368" s="95"/>
      <c r="D368" s="95" t="s">
        <v>1350</v>
      </c>
      <c r="E368" s="95"/>
      <c r="F368" s="95"/>
      <c r="G368" s="95"/>
      <c r="H368" s="95"/>
      <c r="J368" s="1"/>
    </row>
    <row r="369" spans="1:10" x14ac:dyDescent="0.35">
      <c r="B369" s="95"/>
      <c r="C369" s="95"/>
      <c r="D369" s="95"/>
      <c r="E369" s="95"/>
      <c r="F369" s="95"/>
      <c r="G369" s="95"/>
      <c r="H369" s="95"/>
      <c r="J369" s="1"/>
    </row>
    <row r="370" spans="1:10" x14ac:dyDescent="0.35">
      <c r="B370" s="83" t="s">
        <v>1340</v>
      </c>
    </row>
    <row r="371" spans="1:10" s="113" customFormat="1" ht="24" x14ac:dyDescent="0.3">
      <c r="A371" s="160"/>
      <c r="B371" s="161"/>
      <c r="E371" s="113" t="s">
        <v>1343</v>
      </c>
      <c r="F371" s="113" t="s">
        <v>1342</v>
      </c>
      <c r="H371" s="113" t="s">
        <v>1349</v>
      </c>
      <c r="I371" s="113" t="s">
        <v>1348</v>
      </c>
    </row>
    <row r="372" spans="1:10" x14ac:dyDescent="0.35">
      <c r="C372" t="s">
        <v>1336</v>
      </c>
      <c r="D372" t="s">
        <v>1124</v>
      </c>
      <c r="E372">
        <v>55</v>
      </c>
      <c r="F372">
        <v>33</v>
      </c>
      <c r="H372">
        <v>75</v>
      </c>
      <c r="I372">
        <v>33</v>
      </c>
    </row>
    <row r="373" spans="1:10" x14ac:dyDescent="0.35">
      <c r="C373" t="s">
        <v>1335</v>
      </c>
      <c r="D373" s="95" t="s">
        <v>1124</v>
      </c>
      <c r="E373">
        <v>75</v>
      </c>
      <c r="F373">
        <v>55</v>
      </c>
      <c r="H373">
        <v>95</v>
      </c>
      <c r="I373">
        <v>95</v>
      </c>
    </row>
    <row r="374" spans="1:10" x14ac:dyDescent="0.35">
      <c r="C374" t="s">
        <v>1336</v>
      </c>
      <c r="D374" s="95" t="s">
        <v>1334</v>
      </c>
      <c r="E374" s="15">
        <f>CONVERT(E372,"F","K")</f>
        <v>285.92777777777775</v>
      </c>
      <c r="F374" s="15">
        <f>CONVERT(F372,"F","K")</f>
        <v>273.70555555555552</v>
      </c>
      <c r="H374" s="15">
        <f>CONVERT(H372,"F","K")</f>
        <v>297.03888888888889</v>
      </c>
      <c r="I374" s="15">
        <f>CONVERT(I372,"F","K")</f>
        <v>273.70555555555552</v>
      </c>
    </row>
    <row r="375" spans="1:10" x14ac:dyDescent="0.35">
      <c r="C375" t="s">
        <v>1335</v>
      </c>
      <c r="D375" s="95" t="s">
        <v>1334</v>
      </c>
      <c r="E375" s="15">
        <f>CONVERT(E373,"F","K")</f>
        <v>297.03888888888889</v>
      </c>
      <c r="F375" s="15">
        <f>CONVERT(F373,"F","K")</f>
        <v>285.92777777777775</v>
      </c>
      <c r="H375" s="15">
        <f>CONVERT(H373,"F","K")</f>
        <v>308.14999999999998</v>
      </c>
      <c r="I375" s="15">
        <f>CONVERT(I373,"F","K")</f>
        <v>308.14999999999998</v>
      </c>
    </row>
    <row r="376" spans="1:10" x14ac:dyDescent="0.35">
      <c r="C376" t="s">
        <v>1336</v>
      </c>
      <c r="D376" s="95" t="s">
        <v>1337</v>
      </c>
      <c r="E376" s="15">
        <f>CONVERT(E372,"F","C")</f>
        <v>12.777777777777777</v>
      </c>
      <c r="F376" s="15">
        <f>CONVERT(F372,"F","C")</f>
        <v>0.55555555555555558</v>
      </c>
      <c r="H376" s="15">
        <f>CONVERT(H372,"F","C")</f>
        <v>23.888888888888889</v>
      </c>
      <c r="I376" s="15">
        <f>CONVERT(I372,"F","C")</f>
        <v>0.55555555555555558</v>
      </c>
    </row>
    <row r="377" spans="1:10" x14ac:dyDescent="0.35">
      <c r="C377" t="s">
        <v>1335</v>
      </c>
      <c r="D377" s="95" t="s">
        <v>1337</v>
      </c>
      <c r="E377" s="15">
        <f>CONVERT(E373,"F","C")</f>
        <v>23.888888888888889</v>
      </c>
      <c r="F377" s="15">
        <f>CONVERT(F373,"F","C")</f>
        <v>12.777777777777777</v>
      </c>
      <c r="H377" s="15">
        <f>CONVERT(H373,"F","C")</f>
        <v>35</v>
      </c>
      <c r="I377" s="15">
        <f>CONVERT(I373,"F","C")</f>
        <v>35</v>
      </c>
    </row>
    <row r="378" spans="1:10" x14ac:dyDescent="0.35">
      <c r="C378" t="s">
        <v>1346</v>
      </c>
      <c r="E378" s="15">
        <f>E374/(E375-E374)</f>
        <v>25.733499999999925</v>
      </c>
      <c r="F378" s="15">
        <f>F374/(F375-F374)</f>
        <v>22.394090909090895</v>
      </c>
      <c r="H378" s="15">
        <f>H374/(H375-H374)</f>
        <v>26.73350000000006</v>
      </c>
      <c r="I378" s="15">
        <f>I374/(I375-I374)</f>
        <v>7.9462903225806416</v>
      </c>
    </row>
    <row r="380" spans="1:10" x14ac:dyDescent="0.35">
      <c r="B380" s="83" t="s">
        <v>1341</v>
      </c>
    </row>
    <row r="381" spans="1:10" s="113" customFormat="1" ht="24" x14ac:dyDescent="0.3">
      <c r="A381" s="160"/>
      <c r="B381" s="161"/>
      <c r="E381" s="113" t="s">
        <v>1344</v>
      </c>
      <c r="F381" s="113" t="s">
        <v>1345</v>
      </c>
      <c r="H381" s="113" t="s">
        <v>1347</v>
      </c>
      <c r="I381" s="113" t="s">
        <v>1348</v>
      </c>
    </row>
    <row r="382" spans="1:10" x14ac:dyDescent="0.35">
      <c r="C382" t="s">
        <v>1336</v>
      </c>
      <c r="D382" t="s">
        <v>1124</v>
      </c>
      <c r="E382">
        <v>55</v>
      </c>
      <c r="F382">
        <v>55</v>
      </c>
      <c r="H382">
        <v>30</v>
      </c>
      <c r="I382">
        <v>30</v>
      </c>
    </row>
    <row r="383" spans="1:10" x14ac:dyDescent="0.35">
      <c r="C383" t="s">
        <v>1335</v>
      </c>
      <c r="D383" s="95" t="s">
        <v>1124</v>
      </c>
      <c r="E383">
        <v>75</v>
      </c>
      <c r="F383">
        <v>150</v>
      </c>
      <c r="H383">
        <v>75</v>
      </c>
      <c r="I383">
        <v>150</v>
      </c>
    </row>
    <row r="384" spans="1:10" x14ac:dyDescent="0.35">
      <c r="C384" t="s">
        <v>1336</v>
      </c>
      <c r="D384" s="95" t="s">
        <v>1334</v>
      </c>
      <c r="E384" s="15">
        <f>CONVERT(E382,"F","K")</f>
        <v>285.92777777777775</v>
      </c>
      <c r="F384" s="15">
        <f>CONVERT(F382,"F","K")</f>
        <v>285.92777777777775</v>
      </c>
      <c r="H384" s="15">
        <f>CONVERT(H382,"F","K")</f>
        <v>272.03888888888889</v>
      </c>
      <c r="I384" s="15">
        <f>CONVERT(I382,"F","K")</f>
        <v>272.03888888888889</v>
      </c>
    </row>
    <row r="385" spans="1:9" x14ac:dyDescent="0.35">
      <c r="C385" t="s">
        <v>1335</v>
      </c>
      <c r="D385" s="95" t="s">
        <v>1334</v>
      </c>
      <c r="E385" s="15">
        <f>CONVERT(E383,"F","K")</f>
        <v>297.03888888888889</v>
      </c>
      <c r="F385" s="15">
        <f>CONVERT(F383,"F","K")</f>
        <v>338.70555555555552</v>
      </c>
      <c r="H385" s="15">
        <f>CONVERT(H383,"F","K")</f>
        <v>297.03888888888889</v>
      </c>
      <c r="I385" s="15">
        <f>CONVERT(I383,"F","K")</f>
        <v>338.70555555555552</v>
      </c>
    </row>
    <row r="386" spans="1:9" x14ac:dyDescent="0.35">
      <c r="C386" t="s">
        <v>1336</v>
      </c>
      <c r="D386" s="95" t="s">
        <v>1337</v>
      </c>
      <c r="E386" s="15">
        <f>CONVERT(E382,"F","C")</f>
        <v>12.777777777777777</v>
      </c>
      <c r="F386" s="15">
        <f>CONVERT(F382,"F","C")</f>
        <v>12.777777777777777</v>
      </c>
      <c r="H386" s="15">
        <f>CONVERT(H382,"F","C")</f>
        <v>-1.1111111111111112</v>
      </c>
      <c r="I386" s="15">
        <f>CONVERT(I382,"F","C")</f>
        <v>-1.1111111111111112</v>
      </c>
    </row>
    <row r="387" spans="1:9" x14ac:dyDescent="0.35">
      <c r="C387" t="s">
        <v>1335</v>
      </c>
      <c r="D387" s="95" t="s">
        <v>1337</v>
      </c>
      <c r="E387" s="15">
        <f>CONVERT(E383,"F","C")</f>
        <v>23.888888888888889</v>
      </c>
      <c r="F387" s="15">
        <f>CONVERT(F383,"F","C")</f>
        <v>65.555555555555557</v>
      </c>
      <c r="H387" s="15">
        <f>CONVERT(H383,"F","C")</f>
        <v>23.888888888888889</v>
      </c>
      <c r="I387" s="15">
        <f>CONVERT(I383,"F","C")</f>
        <v>65.555555555555557</v>
      </c>
    </row>
    <row r="388" spans="1:9" x14ac:dyDescent="0.35">
      <c r="C388" t="s">
        <v>1346</v>
      </c>
      <c r="E388" s="15">
        <f>E385/(E385-E384)</f>
        <v>26.733499999999925</v>
      </c>
      <c r="F388" s="15">
        <f>F385/(F385-F384)</f>
        <v>6.4175789473684208</v>
      </c>
      <c r="H388" s="15">
        <f>H385/(H385-H384)</f>
        <v>11.881555555555556</v>
      </c>
      <c r="I388" s="15">
        <f>I385/(I385-I384)</f>
        <v>5.0805833333333359</v>
      </c>
    </row>
    <row r="391" spans="1:9" s="88" customFormat="1" x14ac:dyDescent="0.35">
      <c r="A391" s="86" t="s">
        <v>1354</v>
      </c>
    </row>
    <row r="393" spans="1:9" x14ac:dyDescent="0.35">
      <c r="B393" s="83" t="s">
        <v>1377</v>
      </c>
    </row>
    <row r="394" spans="1:9" x14ac:dyDescent="0.35">
      <c r="C394" t="s">
        <v>1351</v>
      </c>
      <c r="I394" s="1" t="s">
        <v>1352</v>
      </c>
    </row>
    <row r="395" spans="1:9" x14ac:dyDescent="0.35">
      <c r="C395" t="s">
        <v>1355</v>
      </c>
      <c r="I395" s="1" t="s">
        <v>1353</v>
      </c>
    </row>
    <row r="396" spans="1:9" x14ac:dyDescent="0.35">
      <c r="C396" t="s">
        <v>1359</v>
      </c>
      <c r="I396" s="1" t="s">
        <v>1356</v>
      </c>
    </row>
    <row r="397" spans="1:9" x14ac:dyDescent="0.35">
      <c r="C397" t="s">
        <v>1358</v>
      </c>
      <c r="I397" s="1" t="s">
        <v>1357</v>
      </c>
    </row>
    <row r="398" spans="1:9" x14ac:dyDescent="0.35">
      <c r="C398" t="s">
        <v>1361</v>
      </c>
      <c r="I398" s="1" t="s">
        <v>1360</v>
      </c>
    </row>
    <row r="399" spans="1:9" x14ac:dyDescent="0.35">
      <c r="C399" t="s">
        <v>1370</v>
      </c>
      <c r="I399" s="1" t="s">
        <v>1369</v>
      </c>
    </row>
    <row r="400" spans="1:9" x14ac:dyDescent="0.35">
      <c r="C400" t="s">
        <v>1687</v>
      </c>
      <c r="I400" s="1" t="s">
        <v>1686</v>
      </c>
    </row>
    <row r="401" spans="1:11" x14ac:dyDescent="0.35">
      <c r="I401" s="1"/>
    </row>
    <row r="402" spans="1:11" s="88" customFormat="1" x14ac:dyDescent="0.35">
      <c r="A402" s="86" t="s">
        <v>1402</v>
      </c>
    </row>
    <row r="403" spans="1:11" s="165" customFormat="1" x14ac:dyDescent="0.35">
      <c r="A403" s="93"/>
    </row>
    <row r="404" spans="1:11" x14ac:dyDescent="0.35">
      <c r="C404" t="s">
        <v>1401</v>
      </c>
      <c r="I404" s="1" t="s">
        <v>1400</v>
      </c>
    </row>
    <row r="405" spans="1:11" x14ac:dyDescent="0.35">
      <c r="C405" t="s">
        <v>1404</v>
      </c>
      <c r="I405" s="1" t="s">
        <v>1403</v>
      </c>
    </row>
    <row r="406" spans="1:11" x14ac:dyDescent="0.35">
      <c r="C406" t="s">
        <v>1685</v>
      </c>
      <c r="I406" s="1" t="s">
        <v>1405</v>
      </c>
    </row>
    <row r="407" spans="1:11" x14ac:dyDescent="0.35">
      <c r="I407" s="1"/>
    </row>
    <row r="408" spans="1:11" s="88" customFormat="1" x14ac:dyDescent="0.35">
      <c r="A408" s="86" t="s">
        <v>1370</v>
      </c>
    </row>
    <row r="410" spans="1:11" ht="24.5" x14ac:dyDescent="0.35">
      <c r="B410" s="83" t="s">
        <v>1370</v>
      </c>
      <c r="C410" s="4"/>
      <c r="D410" s="4"/>
      <c r="E410" s="4"/>
      <c r="F410" s="126" t="s">
        <v>1371</v>
      </c>
      <c r="G410" s="126" t="s">
        <v>1391</v>
      </c>
      <c r="H410" s="126" t="s">
        <v>1391</v>
      </c>
      <c r="I410" s="126" t="s">
        <v>1393</v>
      </c>
      <c r="J410" s="126" t="s">
        <v>1738</v>
      </c>
      <c r="K410" s="126" t="s">
        <v>1697</v>
      </c>
    </row>
    <row r="411" spans="1:11" x14ac:dyDescent="0.35">
      <c r="C411" t="s">
        <v>932</v>
      </c>
      <c r="E411" t="s">
        <v>351</v>
      </c>
      <c r="F411" s="12">
        <f>4/12</f>
        <v>0.33333333333333331</v>
      </c>
      <c r="G411" s="12">
        <f>5/12</f>
        <v>0.41666666666666669</v>
      </c>
      <c r="H411" s="12">
        <f>12/12</f>
        <v>1</v>
      </c>
      <c r="I411">
        <v>30</v>
      </c>
      <c r="J411">
        <v>12</v>
      </c>
      <c r="K411">
        <v>8</v>
      </c>
    </row>
    <row r="412" spans="1:11" x14ac:dyDescent="0.35">
      <c r="C412" t="s">
        <v>1362</v>
      </c>
      <c r="E412" t="s">
        <v>351</v>
      </c>
      <c r="F412">
        <v>30</v>
      </c>
      <c r="G412">
        <v>8</v>
      </c>
      <c r="H412">
        <v>8</v>
      </c>
      <c r="I412">
        <v>40</v>
      </c>
      <c r="J412">
        <v>25</v>
      </c>
      <c r="K412">
        <v>4</v>
      </c>
    </row>
    <row r="413" spans="1:11" x14ac:dyDescent="0.35">
      <c r="C413" t="s">
        <v>1206</v>
      </c>
      <c r="E413" t="s">
        <v>351</v>
      </c>
      <c r="F413">
        <v>40</v>
      </c>
      <c r="G413">
        <v>10</v>
      </c>
      <c r="H413">
        <v>5</v>
      </c>
      <c r="I413">
        <v>20</v>
      </c>
      <c r="J413">
        <v>8</v>
      </c>
      <c r="K413">
        <v>0.625</v>
      </c>
    </row>
    <row r="414" spans="1:11" x14ac:dyDescent="0.35">
      <c r="C414" t="s">
        <v>1365</v>
      </c>
      <c r="E414" t="s">
        <v>993</v>
      </c>
      <c r="F414">
        <f>F413*F412*F411</f>
        <v>400</v>
      </c>
      <c r="G414" s="15">
        <f t="shared" ref="G414:I414" si="46">G413*G412*G411</f>
        <v>33.333333333333336</v>
      </c>
      <c r="H414" s="15">
        <f t="shared" si="46"/>
        <v>40</v>
      </c>
      <c r="I414" s="31">
        <f t="shared" si="46"/>
        <v>24000</v>
      </c>
      <c r="J414" s="31">
        <f>J413*J412*J411</f>
        <v>2400</v>
      </c>
      <c r="K414" s="31">
        <f>K413*K412*K411</f>
        <v>20</v>
      </c>
    </row>
    <row r="415" spans="1:11" x14ac:dyDescent="0.35">
      <c r="C415" t="s">
        <v>1389</v>
      </c>
      <c r="F415" s="73" t="s">
        <v>1394</v>
      </c>
      <c r="G415" s="73" t="s">
        <v>1394</v>
      </c>
      <c r="H415" s="73" t="s">
        <v>1394</v>
      </c>
      <c r="I415" s="164" t="s">
        <v>1373</v>
      </c>
      <c r="J415" s="164" t="s">
        <v>1373</v>
      </c>
      <c r="K415" s="164" t="s">
        <v>1671</v>
      </c>
    </row>
    <row r="416" spans="1:11" x14ac:dyDescent="0.35">
      <c r="C416" t="s">
        <v>1381</v>
      </c>
      <c r="F416" s="15">
        <f>K435</f>
        <v>149.8272</v>
      </c>
      <c r="G416" s="15">
        <f>K435</f>
        <v>149.8272</v>
      </c>
      <c r="H416" s="15">
        <f>K435</f>
        <v>149.8272</v>
      </c>
      <c r="I416" s="72">
        <f>K436</f>
        <v>7.4913599999999997E-2</v>
      </c>
      <c r="J416" s="72">
        <f>I416</f>
        <v>7.4913599999999997E-2</v>
      </c>
      <c r="K416" s="72">
        <f>72/20</f>
        <v>3.6</v>
      </c>
    </row>
    <row r="417" spans="1:15" x14ac:dyDescent="0.35">
      <c r="C417" t="s">
        <v>1363</v>
      </c>
      <c r="E417" t="s">
        <v>1364</v>
      </c>
      <c r="F417" s="20">
        <f t="shared" ref="F417:K417" si="47">F416*F414</f>
        <v>59930.880000000005</v>
      </c>
      <c r="G417" s="20">
        <f t="shared" si="47"/>
        <v>4994.2400000000007</v>
      </c>
      <c r="H417" s="20">
        <f t="shared" si="47"/>
        <v>5993.0879999999997</v>
      </c>
      <c r="I417" s="20">
        <f t="shared" si="47"/>
        <v>1797.9263999999998</v>
      </c>
      <c r="J417" s="20">
        <f t="shared" si="47"/>
        <v>179.79264000000001</v>
      </c>
      <c r="K417" s="20">
        <f t="shared" si="47"/>
        <v>72</v>
      </c>
      <c r="O417" s="44"/>
    </row>
    <row r="418" spans="1:15" x14ac:dyDescent="0.35">
      <c r="F418" s="20"/>
      <c r="G418" s="20"/>
      <c r="H418" s="20"/>
    </row>
    <row r="419" spans="1:15" x14ac:dyDescent="0.35">
      <c r="B419" s="83" t="s">
        <v>1388</v>
      </c>
      <c r="F419" s="20"/>
      <c r="G419" s="20"/>
      <c r="H419" s="20"/>
    </row>
    <row r="420" spans="1:15" ht="50.5" customHeight="1" x14ac:dyDescent="0.35">
      <c r="C420" s="126" t="s">
        <v>1389</v>
      </c>
      <c r="D420" s="126" t="s">
        <v>1386</v>
      </c>
      <c r="F420" s="126" t="s">
        <v>69</v>
      </c>
      <c r="G420" s="126" t="s">
        <v>1337</v>
      </c>
      <c r="H420" s="126" t="s">
        <v>1127</v>
      </c>
      <c r="I420" s="126" t="s">
        <v>1390</v>
      </c>
      <c r="J420" s="126" t="s">
        <v>1662</v>
      </c>
    </row>
    <row r="421" spans="1:15" x14ac:dyDescent="0.35">
      <c r="C421" t="str">
        <f>C435</f>
        <v>concrete</v>
      </c>
      <c r="D421" s="28">
        <f>F435</f>
        <v>0.37833190025795294</v>
      </c>
      <c r="F421" s="20">
        <v>6000</v>
      </c>
      <c r="G421" s="27">
        <v>20</v>
      </c>
      <c r="H421" s="48">
        <f t="shared" ref="H421:H427" si="48">G421*F421*D421</f>
        <v>45399.828030954355</v>
      </c>
      <c r="I421" s="154">
        <f t="shared" ref="I421:I427" si="49">H421*1055/1000</f>
        <v>47896.818572656848</v>
      </c>
      <c r="J421" s="163">
        <f>I421*0.000277778</f>
        <v>13.304682469475475</v>
      </c>
      <c r="L421" t="s">
        <v>1399</v>
      </c>
    </row>
    <row r="422" spans="1:15" x14ac:dyDescent="0.35">
      <c r="D422" s="28">
        <f>D421</f>
        <v>0.37833190025795294</v>
      </c>
      <c r="F422" s="112">
        <v>60000</v>
      </c>
      <c r="G422" s="27">
        <v>20</v>
      </c>
      <c r="H422" s="48">
        <f t="shared" si="48"/>
        <v>453998.28030954354</v>
      </c>
      <c r="I422" s="154">
        <f t="shared" si="49"/>
        <v>478968.18572656845</v>
      </c>
      <c r="J422" s="163">
        <f t="shared" ref="J422:J426" si="50">I422*0.000277778</f>
        <v>133.04682469475475</v>
      </c>
      <c r="L422" t="s">
        <v>1398</v>
      </c>
    </row>
    <row r="423" spans="1:15" x14ac:dyDescent="0.35">
      <c r="C423" t="str">
        <f>C434</f>
        <v>water</v>
      </c>
      <c r="D423" s="28">
        <f>F434</f>
        <v>1.8056749785038664</v>
      </c>
      <c r="F423" s="27">
        <v>2.2000000000000002</v>
      </c>
      <c r="G423" s="27">
        <v>1</v>
      </c>
      <c r="H423" s="54">
        <f t="shared" si="48"/>
        <v>3.9724849527085064</v>
      </c>
      <c r="I423" s="163">
        <f t="shared" si="49"/>
        <v>4.1909716251074745</v>
      </c>
      <c r="J423" s="163">
        <f t="shared" si="50"/>
        <v>1.1641597160791041E-3</v>
      </c>
      <c r="L423" t="s">
        <v>1397</v>
      </c>
    </row>
    <row r="424" spans="1:15" x14ac:dyDescent="0.35">
      <c r="C424" t="s">
        <v>0</v>
      </c>
      <c r="D424" s="28">
        <f>D423</f>
        <v>1.8056749785038664</v>
      </c>
      <c r="F424" s="31">
        <f>500*8</f>
        <v>4000</v>
      </c>
      <c r="G424" s="27">
        <v>50</v>
      </c>
      <c r="H424" s="48">
        <f t="shared" si="48"/>
        <v>361134.99570077326</v>
      </c>
      <c r="I424" s="154">
        <f t="shared" si="49"/>
        <v>380997.4204643158</v>
      </c>
      <c r="J424" s="163">
        <f t="shared" si="50"/>
        <v>105.83270146173672</v>
      </c>
      <c r="L424" t="s">
        <v>1396</v>
      </c>
    </row>
    <row r="425" spans="1:15" x14ac:dyDescent="0.35">
      <c r="C425" t="str">
        <f>C436</f>
        <v>air</v>
      </c>
      <c r="D425" s="12">
        <f>F436</f>
        <v>0.43207222699913944</v>
      </c>
      <c r="F425" s="31">
        <v>2000</v>
      </c>
      <c r="G425" s="27">
        <v>20</v>
      </c>
      <c r="H425" s="48">
        <f t="shared" si="48"/>
        <v>17282.889079965578</v>
      </c>
      <c r="I425" s="154">
        <f t="shared" si="49"/>
        <v>18233.447979363682</v>
      </c>
      <c r="J425" s="163">
        <f t="shared" si="50"/>
        <v>5.0648507128116851</v>
      </c>
      <c r="L425" t="s">
        <v>1395</v>
      </c>
    </row>
    <row r="426" spans="1:15" x14ac:dyDescent="0.35">
      <c r="D426" s="12">
        <f>D425</f>
        <v>0.43207222699913944</v>
      </c>
      <c r="F426" s="31">
        <f>F545</f>
        <v>179.79264000000001</v>
      </c>
      <c r="G426" s="27">
        <v>10</v>
      </c>
      <c r="H426" s="48">
        <f t="shared" si="48"/>
        <v>776.83406362854555</v>
      </c>
      <c r="I426" s="154">
        <f t="shared" si="49"/>
        <v>819.55993712811551</v>
      </c>
      <c r="J426" s="163">
        <f t="shared" si="50"/>
        <v>0.22765572021557368</v>
      </c>
      <c r="L426" t="s">
        <v>1684</v>
      </c>
    </row>
    <row r="427" spans="1:15" x14ac:dyDescent="0.35">
      <c r="C427" t="s">
        <v>1671</v>
      </c>
      <c r="D427" s="12">
        <f>F439</f>
        <v>0.4686156491831463</v>
      </c>
      <c r="E427" s="43"/>
      <c r="F427" s="20">
        <f>F544</f>
        <v>1332</v>
      </c>
      <c r="G427" s="27">
        <v>10</v>
      </c>
      <c r="H427" s="48">
        <f t="shared" si="48"/>
        <v>6241.9604471195089</v>
      </c>
      <c r="I427" s="154">
        <f t="shared" si="49"/>
        <v>6585.268271711082</v>
      </c>
      <c r="J427" s="163">
        <f t="shared" ref="J427" si="51">I427*0.000277778</f>
        <v>1.829242649979361</v>
      </c>
      <c r="L427" t="s">
        <v>1698</v>
      </c>
    </row>
    <row r="428" spans="1:15" x14ac:dyDescent="0.35">
      <c r="D428" s="12"/>
      <c r="E428" s="43"/>
      <c r="F428" s="27"/>
      <c r="G428" s="48"/>
      <c r="H428" s="154"/>
      <c r="I428" s="163"/>
    </row>
    <row r="430" spans="1:15" s="88" customFormat="1" x14ac:dyDescent="0.35">
      <c r="A430" s="86" t="s">
        <v>1382</v>
      </c>
    </row>
    <row r="432" spans="1:15" x14ac:dyDescent="0.35">
      <c r="B432" s="83" t="s">
        <v>1383</v>
      </c>
    </row>
    <row r="433" spans="2:15" ht="38" customHeight="1" x14ac:dyDescent="0.35">
      <c r="C433" s="4"/>
      <c r="D433" s="4"/>
      <c r="E433" s="126" t="s">
        <v>1387</v>
      </c>
      <c r="F433" s="126" t="s">
        <v>1392</v>
      </c>
      <c r="H433" s="126" t="s">
        <v>1372</v>
      </c>
      <c r="J433" s="126" t="s">
        <v>1380</v>
      </c>
      <c r="K433" s="126" t="s">
        <v>1381</v>
      </c>
    </row>
    <row r="434" spans="2:15" x14ac:dyDescent="0.35">
      <c r="C434" t="s">
        <v>1368</v>
      </c>
      <c r="E434">
        <v>4200</v>
      </c>
      <c r="F434" s="12">
        <f>E434*0.000429922613929492</f>
        <v>1.8056749785038664</v>
      </c>
      <c r="H434">
        <v>0.6</v>
      </c>
      <c r="J434" s="162">
        <v>1000</v>
      </c>
      <c r="K434" s="15">
        <f t="shared" ref="K434:K440" si="52">0.062428*J434</f>
        <v>62.427999999999997</v>
      </c>
    </row>
    <row r="435" spans="2:15" x14ac:dyDescent="0.35">
      <c r="C435" t="s">
        <v>1367</v>
      </c>
      <c r="E435">
        <v>880</v>
      </c>
      <c r="F435" s="12">
        <f>E435*0.000429922613929492</f>
        <v>0.37833190025795294</v>
      </c>
      <c r="H435">
        <v>1.1299999999999999</v>
      </c>
      <c r="J435" s="162">
        <v>2400</v>
      </c>
      <c r="K435" s="15">
        <f t="shared" si="52"/>
        <v>149.8272</v>
      </c>
    </row>
    <row r="436" spans="2:15" x14ac:dyDescent="0.35">
      <c r="C436" t="s">
        <v>1373</v>
      </c>
      <c r="E436">
        <v>1005</v>
      </c>
      <c r="F436" s="12">
        <f>E436*0.000429922613929492</f>
        <v>0.43207222699913944</v>
      </c>
      <c r="H436">
        <v>2.5999999999999999E-2</v>
      </c>
      <c r="J436">
        <v>1.2</v>
      </c>
      <c r="K436" s="12">
        <f t="shared" si="52"/>
        <v>7.4913599999999997E-2</v>
      </c>
    </row>
    <row r="437" spans="2:15" x14ac:dyDescent="0.35">
      <c r="C437" t="s">
        <v>1374</v>
      </c>
      <c r="J437">
        <v>75</v>
      </c>
      <c r="K437" s="12">
        <f t="shared" si="52"/>
        <v>4.6821000000000002</v>
      </c>
    </row>
    <row r="438" spans="2:15" x14ac:dyDescent="0.35">
      <c r="C438" t="s">
        <v>1384</v>
      </c>
      <c r="H438">
        <v>0.15</v>
      </c>
      <c r="J438">
        <v>700</v>
      </c>
      <c r="K438" s="12">
        <f t="shared" si="52"/>
        <v>43.699599999999997</v>
      </c>
    </row>
    <row r="439" spans="2:15" x14ac:dyDescent="0.35">
      <c r="C439" t="s">
        <v>1673</v>
      </c>
      <c r="E439">
        <v>1090</v>
      </c>
      <c r="F439" s="12">
        <f>E439*0.000429922613929492</f>
        <v>0.4686156491831463</v>
      </c>
      <c r="H439">
        <v>0.17</v>
      </c>
      <c r="J439">
        <v>800</v>
      </c>
      <c r="K439" s="12">
        <f t="shared" si="52"/>
        <v>49.942399999999999</v>
      </c>
      <c r="M439" s="1" t="s">
        <v>1672</v>
      </c>
      <c r="N439" s="3" t="s">
        <v>1590</v>
      </c>
      <c r="O439" s="1" t="s">
        <v>1674</v>
      </c>
    </row>
    <row r="440" spans="2:15" x14ac:dyDescent="0.35">
      <c r="C440" t="s">
        <v>3574</v>
      </c>
      <c r="H440">
        <v>0.28999999999999998</v>
      </c>
      <c r="J440">
        <v>1850</v>
      </c>
      <c r="K440" s="12">
        <f t="shared" si="52"/>
        <v>115.4918</v>
      </c>
      <c r="M440" s="1" t="s">
        <v>3573</v>
      </c>
    </row>
    <row r="441" spans="2:15" x14ac:dyDescent="0.35">
      <c r="M441" s="1"/>
    </row>
    <row r="442" spans="2:15" x14ac:dyDescent="0.35">
      <c r="B442" s="83" t="s">
        <v>1377</v>
      </c>
    </row>
    <row r="443" spans="2:15" x14ac:dyDescent="0.35">
      <c r="B443"/>
      <c r="C443" t="s">
        <v>1370</v>
      </c>
      <c r="F443" s="1" t="s">
        <v>1369</v>
      </c>
    </row>
    <row r="444" spans="2:15" x14ac:dyDescent="0.35">
      <c r="B444"/>
      <c r="C444" t="s">
        <v>1376</v>
      </c>
      <c r="F444" s="1" t="s">
        <v>1375</v>
      </c>
      <c r="M444" s="1" t="s">
        <v>1672</v>
      </c>
    </row>
    <row r="445" spans="2:15" x14ac:dyDescent="0.35">
      <c r="B445"/>
      <c r="C445" t="s">
        <v>1379</v>
      </c>
      <c r="F445" s="1" t="s">
        <v>1378</v>
      </c>
    </row>
    <row r="446" spans="2:15" x14ac:dyDescent="0.35">
      <c r="B446"/>
      <c r="C446" t="s">
        <v>1366</v>
      </c>
      <c r="F446" s="1" t="s">
        <v>1385</v>
      </c>
    </row>
    <row r="447" spans="2:15" x14ac:dyDescent="0.35">
      <c r="B447"/>
      <c r="F447" s="1"/>
    </row>
    <row r="448" spans="2:15" x14ac:dyDescent="0.35">
      <c r="B448" s="83" t="s">
        <v>3569</v>
      </c>
      <c r="F448" s="1"/>
    </row>
    <row r="449" spans="1:14" x14ac:dyDescent="0.35">
      <c r="F449" s="1"/>
    </row>
    <row r="450" spans="1:14" x14ac:dyDescent="0.35">
      <c r="B450"/>
      <c r="C450" t="s">
        <v>3570</v>
      </c>
      <c r="F450" s="1" t="s">
        <v>3564</v>
      </c>
    </row>
    <row r="451" spans="1:14" x14ac:dyDescent="0.35">
      <c r="B451"/>
      <c r="F451" s="1"/>
    </row>
    <row r="452" spans="1:14" ht="24.5" x14ac:dyDescent="0.35">
      <c r="B452" s="83" t="s">
        <v>3568</v>
      </c>
      <c r="F452" s="126" t="s">
        <v>3565</v>
      </c>
      <c r="G452" s="126" t="s">
        <v>3572</v>
      </c>
      <c r="H452" s="126" t="s">
        <v>3571</v>
      </c>
      <c r="J452" s="392" t="s">
        <v>3566</v>
      </c>
      <c r="K452" s="1" t="s">
        <v>3567</v>
      </c>
    </row>
    <row r="453" spans="1:14" x14ac:dyDescent="0.35">
      <c r="F453" s="13">
        <v>10</v>
      </c>
      <c r="G453" s="12">
        <v>0.4</v>
      </c>
      <c r="H453" s="13">
        <f>(F453^2+G453^2)/(2*G453)</f>
        <v>125.19999999999999</v>
      </c>
    </row>
    <row r="454" spans="1:14" x14ac:dyDescent="0.35">
      <c r="F454" s="13">
        <v>25</v>
      </c>
      <c r="G454" s="12">
        <v>3</v>
      </c>
      <c r="H454" s="13">
        <f>(F454^2+G454^2)/(2*G454)</f>
        <v>105.66666666666667</v>
      </c>
    </row>
    <row r="455" spans="1:14" x14ac:dyDescent="0.35">
      <c r="F455" s="13">
        <v>6</v>
      </c>
      <c r="G455" s="12">
        <v>0.5</v>
      </c>
      <c r="H455" s="13">
        <f>(F455^2+G455^2)/(2*G455)</f>
        <v>36.25</v>
      </c>
    </row>
    <row r="456" spans="1:14" x14ac:dyDescent="0.35">
      <c r="F456" s="13">
        <v>12</v>
      </c>
      <c r="G456" s="12">
        <v>2</v>
      </c>
      <c r="H456" s="13">
        <f>(F456^2+G456^2)/(2*G456)</f>
        <v>37</v>
      </c>
    </row>
    <row r="457" spans="1:14" x14ac:dyDescent="0.35">
      <c r="F457" s="13"/>
      <c r="G457" s="12"/>
      <c r="H457" s="13"/>
    </row>
    <row r="458" spans="1:14" s="5" customFormat="1" x14ac:dyDescent="0.35">
      <c r="A458" s="86" t="s">
        <v>5391</v>
      </c>
    </row>
    <row r="459" spans="1:14" x14ac:dyDescent="0.35">
      <c r="A459"/>
      <c r="B459"/>
    </row>
    <row r="460" spans="1:14" s="520" customFormat="1" ht="39.5" x14ac:dyDescent="0.35">
      <c r="B460" s="83" t="s">
        <v>5453</v>
      </c>
      <c r="G460" s="144" t="s">
        <v>5377</v>
      </c>
      <c r="H460" s="144" t="s">
        <v>5452</v>
      </c>
      <c r="I460" s="144" t="s">
        <v>5378</v>
      </c>
      <c r="J460" s="144" t="s">
        <v>5386</v>
      </c>
      <c r="K460" s="144" t="s">
        <v>5387</v>
      </c>
      <c r="L460" s="144" t="s">
        <v>5449</v>
      </c>
      <c r="N460" s="144" t="s">
        <v>1526</v>
      </c>
    </row>
    <row r="461" spans="1:14" x14ac:dyDescent="0.35">
      <c r="A461"/>
      <c r="D461" t="s">
        <v>5376</v>
      </c>
      <c r="G461">
        <v>2500</v>
      </c>
      <c r="H461">
        <f>G461/1000</f>
        <v>2.5</v>
      </c>
      <c r="I461">
        <v>8760</v>
      </c>
      <c r="J461" s="12">
        <f>G461/I461</f>
        <v>0.28538812785388129</v>
      </c>
      <c r="K461" s="335">
        <f>J461*1000</f>
        <v>285.38812785388131</v>
      </c>
      <c r="L461">
        <v>600</v>
      </c>
      <c r="N461" s="1" t="s">
        <v>5379</v>
      </c>
    </row>
    <row r="462" spans="1:14" x14ac:dyDescent="0.35">
      <c r="A462"/>
      <c r="B462"/>
      <c r="D462" t="s">
        <v>5381</v>
      </c>
      <c r="G462">
        <v>1</v>
      </c>
      <c r="H462">
        <f>G462/1000</f>
        <v>1E-3</v>
      </c>
      <c r="I462">
        <v>8760</v>
      </c>
      <c r="J462" s="178">
        <f>G462/I462</f>
        <v>1.1415525114155251E-4</v>
      </c>
      <c r="K462" s="335">
        <f>J462*1000</f>
        <v>0.11415525114155251</v>
      </c>
      <c r="N462" s="1" t="s">
        <v>5380</v>
      </c>
    </row>
    <row r="463" spans="1:14" x14ac:dyDescent="0.35">
      <c r="A463"/>
      <c r="B463"/>
    </row>
    <row r="464" spans="1:14" x14ac:dyDescent="0.35">
      <c r="A464"/>
      <c r="B464"/>
      <c r="D464" t="s">
        <v>5385</v>
      </c>
      <c r="G464">
        <v>7</v>
      </c>
      <c r="H464">
        <f t="shared" ref="H464:H469" si="53">G464/1000</f>
        <v>7.0000000000000001E-3</v>
      </c>
      <c r="I464">
        <v>8760</v>
      </c>
      <c r="J464" s="178">
        <f>G464/I464</f>
        <v>7.9908675799086762E-4</v>
      </c>
      <c r="K464" s="335">
        <f>J464*1000</f>
        <v>0.79908675799086759</v>
      </c>
      <c r="L464">
        <v>28</v>
      </c>
      <c r="N464" s="1" t="s">
        <v>5384</v>
      </c>
    </row>
    <row r="465" spans="1:27" x14ac:dyDescent="0.35">
      <c r="A465"/>
      <c r="B465"/>
      <c r="J465" s="178"/>
      <c r="K465" s="335"/>
      <c r="N465" s="1"/>
    </row>
    <row r="466" spans="1:27" ht="39.5" x14ac:dyDescent="0.35">
      <c r="A466"/>
      <c r="B466" s="83" t="s">
        <v>5454</v>
      </c>
      <c r="G466" s="144" t="s">
        <v>5377</v>
      </c>
      <c r="H466" s="144" t="s">
        <v>5452</v>
      </c>
      <c r="I466" s="144" t="s">
        <v>5378</v>
      </c>
      <c r="J466" s="144" t="s">
        <v>5386</v>
      </c>
      <c r="K466" s="144" t="s">
        <v>5387</v>
      </c>
      <c r="L466" s="144" t="s">
        <v>5449</v>
      </c>
      <c r="N466" s="144" t="s">
        <v>5467</v>
      </c>
      <c r="O466" s="527" t="s">
        <v>5461</v>
      </c>
      <c r="P466" s="309" t="s">
        <v>5456</v>
      </c>
      <c r="R466" s="144"/>
    </row>
    <row r="467" spans="1:27" x14ac:dyDescent="0.35">
      <c r="A467"/>
      <c r="B467"/>
      <c r="D467" t="s">
        <v>5393</v>
      </c>
      <c r="G467" s="162">
        <v>55000</v>
      </c>
      <c r="H467" s="162">
        <f t="shared" si="53"/>
        <v>55</v>
      </c>
      <c r="I467">
        <v>8760</v>
      </c>
      <c r="J467" s="13">
        <f>G467/I467</f>
        <v>6.2785388127853885</v>
      </c>
      <c r="K467" s="162">
        <f>J467*1000</f>
        <v>6278.5388127853885</v>
      </c>
      <c r="N467" s="13">
        <v>3</v>
      </c>
      <c r="O467" s="162">
        <f>H467*N467</f>
        <v>165</v>
      </c>
      <c r="R467" s="1" t="s">
        <v>5392</v>
      </c>
    </row>
    <row r="468" spans="1:27" x14ac:dyDescent="0.35">
      <c r="A468"/>
      <c r="B468"/>
      <c r="D468" t="s">
        <v>5447</v>
      </c>
      <c r="G468" s="162">
        <f xml:space="preserve"> 3820000000000*1000/1000000000</f>
        <v>3820000</v>
      </c>
      <c r="H468" s="162">
        <f t="shared" si="53"/>
        <v>3820</v>
      </c>
      <c r="I468">
        <v>8760</v>
      </c>
      <c r="J468" s="13">
        <f>G468/I468</f>
        <v>436.07305936073061</v>
      </c>
      <c r="K468" s="162">
        <f>J468*1000</f>
        <v>436073.05936073064</v>
      </c>
      <c r="N468" s="13">
        <v>3</v>
      </c>
      <c r="O468" s="162">
        <f>H468*N468</f>
        <v>11460</v>
      </c>
      <c r="R468" s="1" t="s">
        <v>5448</v>
      </c>
    </row>
    <row r="469" spans="1:27" x14ac:dyDescent="0.35">
      <c r="A469"/>
      <c r="B469"/>
      <c r="D469" t="s">
        <v>5458</v>
      </c>
      <c r="G469" s="162">
        <v>202000</v>
      </c>
      <c r="H469" s="162">
        <f t="shared" si="53"/>
        <v>202</v>
      </c>
      <c r="I469">
        <v>8760</v>
      </c>
      <c r="J469" s="13">
        <f>G469/I469</f>
        <v>23.059360730593607</v>
      </c>
      <c r="K469" s="162">
        <f>J469*1000</f>
        <v>23059.360730593606</v>
      </c>
      <c r="N469" s="13">
        <v>3</v>
      </c>
      <c r="O469" s="162">
        <f>H469*N469</f>
        <v>606</v>
      </c>
      <c r="R469" s="1"/>
    </row>
    <row r="470" spans="1:27" x14ac:dyDescent="0.35">
      <c r="A470"/>
      <c r="B470"/>
      <c r="G470" s="162"/>
      <c r="I470" s="178"/>
      <c r="J470" s="36"/>
      <c r="L470" s="1"/>
    </row>
    <row r="471" spans="1:27" ht="40.5" customHeight="1" x14ac:dyDescent="0.35">
      <c r="A471"/>
      <c r="B471" s="83" t="s">
        <v>5402</v>
      </c>
      <c r="G471" s="144" t="s">
        <v>5397</v>
      </c>
      <c r="H471" s="144" t="s">
        <v>5398</v>
      </c>
      <c r="I471" s="144" t="s">
        <v>5399</v>
      </c>
      <c r="J471" s="144" t="s">
        <v>5403</v>
      </c>
      <c r="L471" s="169" t="s">
        <v>5395</v>
      </c>
    </row>
    <row r="472" spans="1:27" x14ac:dyDescent="0.35">
      <c r="A472"/>
      <c r="B472"/>
      <c r="D472" t="s">
        <v>5396</v>
      </c>
      <c r="G472" s="335">
        <v>3.2</v>
      </c>
      <c r="H472" s="162">
        <f>G472*365</f>
        <v>1168</v>
      </c>
      <c r="I472">
        <v>5</v>
      </c>
      <c r="J472">
        <f>H472/I472</f>
        <v>233.6</v>
      </c>
    </row>
    <row r="473" spans="1:27" x14ac:dyDescent="0.35">
      <c r="A473"/>
      <c r="B473"/>
      <c r="D473" t="s">
        <v>5400</v>
      </c>
      <c r="G473" s="335">
        <v>4.5</v>
      </c>
      <c r="H473" s="162">
        <f>G473*365</f>
        <v>1642.5</v>
      </c>
      <c r="I473">
        <v>5</v>
      </c>
      <c r="J473">
        <f>H473/I473</f>
        <v>328.5</v>
      </c>
      <c r="M473" s="162"/>
      <c r="O473" s="162"/>
    </row>
    <row r="474" spans="1:27" x14ac:dyDescent="0.35">
      <c r="A474"/>
      <c r="B474"/>
      <c r="D474" t="s">
        <v>5401</v>
      </c>
      <c r="G474" s="335">
        <v>4.8</v>
      </c>
      <c r="H474" s="162">
        <f>G474*365</f>
        <v>1752</v>
      </c>
      <c r="I474">
        <v>5</v>
      </c>
      <c r="J474">
        <f>H474/I474</f>
        <v>350.4</v>
      </c>
      <c r="M474" s="162"/>
      <c r="O474" s="162"/>
    </row>
    <row r="475" spans="1:27" x14ac:dyDescent="0.35">
      <c r="A475"/>
      <c r="B475"/>
      <c r="D475" t="s">
        <v>5446</v>
      </c>
      <c r="G475" s="335">
        <v>4.3</v>
      </c>
      <c r="H475" s="162">
        <f>G475*365</f>
        <v>1569.5</v>
      </c>
      <c r="I475">
        <v>5</v>
      </c>
      <c r="J475">
        <f>H475/I475</f>
        <v>313.89999999999998</v>
      </c>
      <c r="M475" s="162"/>
      <c r="O475" s="162"/>
    </row>
    <row r="476" spans="1:27" x14ac:dyDescent="0.35">
      <c r="A476"/>
      <c r="B476"/>
      <c r="D476" t="s">
        <v>5459</v>
      </c>
      <c r="G476" s="335">
        <v>4.3</v>
      </c>
      <c r="H476" s="162">
        <f>G476*365</f>
        <v>1569.5</v>
      </c>
      <c r="I476">
        <v>5</v>
      </c>
      <c r="J476">
        <f>H476/I476</f>
        <v>313.89999999999998</v>
      </c>
      <c r="L476" t="s">
        <v>5460</v>
      </c>
      <c r="M476" s="162"/>
      <c r="O476" s="162"/>
    </row>
    <row r="477" spans="1:27" x14ac:dyDescent="0.35">
      <c r="A477"/>
      <c r="B477"/>
      <c r="G477" s="335"/>
      <c r="H477" s="162"/>
      <c r="M477" s="162"/>
      <c r="O477" s="162"/>
    </row>
    <row r="478" spans="1:27" x14ac:dyDescent="0.35">
      <c r="A478"/>
      <c r="B478"/>
      <c r="G478" s="335"/>
      <c r="H478" s="162"/>
      <c r="M478" s="162"/>
      <c r="O478" s="162"/>
    </row>
    <row r="479" spans="1:27" ht="31" customHeight="1" x14ac:dyDescent="0.35">
      <c r="A479"/>
      <c r="B479" s="83" t="s">
        <v>1430</v>
      </c>
      <c r="G479" s="144" t="s">
        <v>5470</v>
      </c>
      <c r="H479" s="144" t="s">
        <v>5469</v>
      </c>
      <c r="I479" s="144" t="s">
        <v>5403</v>
      </c>
      <c r="J479" s="144" t="s">
        <v>5468</v>
      </c>
      <c r="K479" s="144" t="s">
        <v>5471</v>
      </c>
      <c r="L479" s="144" t="s">
        <v>5465</v>
      </c>
      <c r="M479" s="144" t="s">
        <v>5404</v>
      </c>
      <c r="N479" s="144" t="s">
        <v>5405</v>
      </c>
      <c r="O479" s="144" t="s">
        <v>5406</v>
      </c>
      <c r="P479" s="144" t="s">
        <v>5407</v>
      </c>
      <c r="Q479" s="144" t="s">
        <v>5408</v>
      </c>
      <c r="S479" s="144" t="s">
        <v>5394</v>
      </c>
      <c r="T479" s="144" t="s">
        <v>5420</v>
      </c>
      <c r="V479" s="144" t="s">
        <v>3434</v>
      </c>
      <c r="W479" s="144" t="s">
        <v>5455</v>
      </c>
      <c r="X479" s="144" t="s">
        <v>5472</v>
      </c>
      <c r="Z479" s="144" t="s">
        <v>5463</v>
      </c>
      <c r="AA479" s="144" t="s">
        <v>5464</v>
      </c>
    </row>
    <row r="480" spans="1:27" x14ac:dyDescent="0.35">
      <c r="A480"/>
      <c r="B480"/>
      <c r="D480" t="s">
        <v>5410</v>
      </c>
      <c r="G480">
        <v>10</v>
      </c>
      <c r="H480" s="335">
        <f>G480*0.38</f>
        <v>3.8</v>
      </c>
      <c r="I480">
        <f>J472</f>
        <v>233.6</v>
      </c>
      <c r="J480" s="13">
        <v>2</v>
      </c>
      <c r="K480" s="162">
        <f>H480*J480</f>
        <v>7.6</v>
      </c>
      <c r="L480" s="162">
        <f>K480/0.38</f>
        <v>20</v>
      </c>
      <c r="M480" s="22">
        <v>1000000</v>
      </c>
      <c r="N480" s="22">
        <f>I480*M480*G480</f>
        <v>2336000000</v>
      </c>
      <c r="O480" s="162">
        <f t="shared" ref="O480:Q482" si="54">N480/1000</f>
        <v>2336000</v>
      </c>
      <c r="P480" s="162">
        <f t="shared" si="54"/>
        <v>2336</v>
      </c>
      <c r="Q480" s="220">
        <f t="shared" si="54"/>
        <v>2.3359999999999999</v>
      </c>
      <c r="S480" s="22">
        <f>G480*1000000*200</f>
        <v>2000000000</v>
      </c>
      <c r="T480" s="335">
        <f>S480/1000000000</f>
        <v>2</v>
      </c>
      <c r="V480" s="186">
        <v>0.5</v>
      </c>
      <c r="W480" s="529">
        <f>V480*T480</f>
        <v>1</v>
      </c>
      <c r="X480" s="13">
        <f>W480/25</f>
        <v>0.04</v>
      </c>
      <c r="AA480" s="17"/>
    </row>
    <row r="481" spans="1:27" x14ac:dyDescent="0.35">
      <c r="A481"/>
      <c r="B481"/>
      <c r="D481" t="s">
        <v>5409</v>
      </c>
      <c r="G481">
        <v>200</v>
      </c>
      <c r="H481" s="335">
        <f>G481*0.38</f>
        <v>76</v>
      </c>
      <c r="I481">
        <f>J473</f>
        <v>328.5</v>
      </c>
      <c r="J481" s="13">
        <v>2</v>
      </c>
      <c r="K481" s="162">
        <f t="shared" ref="K481:K484" si="55">H481*J481</f>
        <v>152</v>
      </c>
      <c r="L481" s="162">
        <f t="shared" ref="L481:L484" si="56">K481/0.38</f>
        <v>400</v>
      </c>
      <c r="M481" s="22">
        <v>1000000</v>
      </c>
      <c r="N481" s="22">
        <f>I481*M481*G481</f>
        <v>65700000000</v>
      </c>
      <c r="O481" s="521">
        <f t="shared" si="54"/>
        <v>65700000</v>
      </c>
      <c r="P481" s="162">
        <f t="shared" si="54"/>
        <v>65700</v>
      </c>
      <c r="Q481" s="162">
        <f t="shared" si="54"/>
        <v>65.7</v>
      </c>
      <c r="S481" s="22">
        <f>G481*1000000*200</f>
        <v>40000000000</v>
      </c>
      <c r="T481" s="335">
        <f t="shared" ref="T481:T482" si="57">S481/1000000000</f>
        <v>40</v>
      </c>
      <c r="V481" s="186">
        <v>0.5</v>
      </c>
      <c r="W481" s="528">
        <f t="shared" ref="W481:W483" si="58">V481*T481</f>
        <v>20</v>
      </c>
      <c r="X481" s="13">
        <f t="shared" ref="X481:X484" si="59">W481/25</f>
        <v>0.8</v>
      </c>
      <c r="AA481" s="17"/>
    </row>
    <row r="482" spans="1:27" x14ac:dyDescent="0.35">
      <c r="A482"/>
      <c r="B482"/>
      <c r="D482" t="s">
        <v>5466</v>
      </c>
      <c r="G482">
        <v>480</v>
      </c>
      <c r="H482" s="335">
        <f>G482*0.38</f>
        <v>182.4</v>
      </c>
      <c r="I482">
        <f>J474</f>
        <v>350.4</v>
      </c>
      <c r="J482" s="13">
        <v>2</v>
      </c>
      <c r="K482" s="162">
        <f t="shared" si="55"/>
        <v>364.8</v>
      </c>
      <c r="L482" s="162">
        <f t="shared" si="56"/>
        <v>960</v>
      </c>
      <c r="M482" s="22">
        <v>1000000</v>
      </c>
      <c r="N482" s="22">
        <f>I482*M482*G482</f>
        <v>168192000000</v>
      </c>
      <c r="O482" s="521">
        <f t="shared" si="54"/>
        <v>168192000</v>
      </c>
      <c r="P482" s="162">
        <f t="shared" si="54"/>
        <v>168192</v>
      </c>
      <c r="Q482" s="162">
        <f t="shared" si="54"/>
        <v>168.19200000000001</v>
      </c>
      <c r="S482" s="22">
        <f>G482*1000000*200</f>
        <v>96000000000</v>
      </c>
      <c r="T482" s="335">
        <f t="shared" si="57"/>
        <v>96</v>
      </c>
      <c r="V482" s="186">
        <v>0.5</v>
      </c>
      <c r="W482" s="528">
        <f t="shared" si="58"/>
        <v>48</v>
      </c>
      <c r="X482" s="13">
        <f t="shared" si="59"/>
        <v>1.92</v>
      </c>
      <c r="Z482" s="162">
        <f>10565/0.38</f>
        <v>27802.631578947367</v>
      </c>
      <c r="AA482" s="17">
        <f>L482/Z482</f>
        <v>3.4529105537150974E-2</v>
      </c>
    </row>
    <row r="483" spans="1:27" x14ac:dyDescent="0.35">
      <c r="A483"/>
      <c r="B483"/>
      <c r="D483" t="s">
        <v>5457</v>
      </c>
      <c r="G483" s="162">
        <v>37000</v>
      </c>
      <c r="H483" s="335">
        <f>G483*0.38</f>
        <v>14060</v>
      </c>
      <c r="I483">
        <f>J475</f>
        <v>313.89999999999998</v>
      </c>
      <c r="J483" s="13">
        <v>2</v>
      </c>
      <c r="K483" s="162">
        <f t="shared" si="55"/>
        <v>28120</v>
      </c>
      <c r="L483" s="162">
        <f t="shared" si="56"/>
        <v>74000</v>
      </c>
      <c r="M483" s="22">
        <v>1000000</v>
      </c>
      <c r="N483" s="22">
        <f>I483*M483*G483</f>
        <v>11614300000000</v>
      </c>
      <c r="O483" s="521">
        <f t="shared" ref="O483" si="60">N483/1000</f>
        <v>11614300000</v>
      </c>
      <c r="P483" s="526">
        <f t="shared" ref="P483" si="61">O483/1000</f>
        <v>11614300</v>
      </c>
      <c r="Q483" s="162">
        <f t="shared" ref="Q483" si="62">P483/1000</f>
        <v>11614.3</v>
      </c>
      <c r="S483" s="22">
        <f>G483*1000000*200</f>
        <v>7400000000000</v>
      </c>
      <c r="T483" s="335">
        <f t="shared" ref="T483" si="63">S483/1000000000</f>
        <v>7400</v>
      </c>
      <c r="V483" s="186">
        <v>0.5</v>
      </c>
      <c r="W483" s="528">
        <f t="shared" si="58"/>
        <v>3700</v>
      </c>
      <c r="X483" s="13">
        <f t="shared" si="59"/>
        <v>148</v>
      </c>
      <c r="Z483" s="162">
        <f>110567/0.386102</f>
        <v>286367.33298454812</v>
      </c>
      <c r="AA483" s="17">
        <f>L483/Z483</f>
        <v>0.25840936264889164</v>
      </c>
    </row>
    <row r="484" spans="1:27" x14ac:dyDescent="0.35">
      <c r="A484"/>
      <c r="B484"/>
      <c r="D484" t="s">
        <v>5462</v>
      </c>
      <c r="G484" s="162">
        <v>2000</v>
      </c>
      <c r="H484" s="335">
        <f>G484*0.38</f>
        <v>760</v>
      </c>
      <c r="I484">
        <f>J476</f>
        <v>313.89999999999998</v>
      </c>
      <c r="J484" s="13">
        <v>2</v>
      </c>
      <c r="K484" s="162">
        <f t="shared" si="55"/>
        <v>1520</v>
      </c>
      <c r="L484" s="162">
        <f t="shared" si="56"/>
        <v>4000</v>
      </c>
      <c r="M484" s="22">
        <v>1000000</v>
      </c>
      <c r="N484" s="22">
        <f>I484*M484*G484</f>
        <v>627800000000</v>
      </c>
      <c r="O484" s="521">
        <f t="shared" ref="O484" si="64">N484/1000</f>
        <v>627800000</v>
      </c>
      <c r="P484" s="526">
        <f t="shared" ref="P484" si="65">O484/1000</f>
        <v>627800</v>
      </c>
      <c r="Q484" s="162">
        <f t="shared" ref="Q484" si="66">P484/1000</f>
        <v>627.79999999999995</v>
      </c>
      <c r="S484" s="22">
        <f>G484*1000000*200</f>
        <v>400000000000</v>
      </c>
      <c r="T484" s="335">
        <f t="shared" ref="T484" si="67">S484/1000000000</f>
        <v>400</v>
      </c>
      <c r="V484" s="186">
        <v>0.5</v>
      </c>
      <c r="W484" s="528">
        <f t="shared" ref="W484" si="68">V484*T484</f>
        <v>200</v>
      </c>
      <c r="X484" s="13">
        <f t="shared" si="59"/>
        <v>8</v>
      </c>
      <c r="Z484" s="162">
        <v>36193</v>
      </c>
      <c r="AA484" s="17">
        <f>L484/Z484</f>
        <v>0.11051860857071809</v>
      </c>
    </row>
    <row r="485" spans="1:27" x14ac:dyDescent="0.35">
      <c r="A485"/>
      <c r="B485"/>
      <c r="J485" s="13"/>
      <c r="K485" s="22"/>
      <c r="L485" s="22"/>
      <c r="M485" s="521"/>
      <c r="N485" s="162"/>
      <c r="O485" s="220"/>
      <c r="Q485" s="22"/>
      <c r="R485" s="335"/>
    </row>
    <row r="486" spans="1:27" x14ac:dyDescent="0.35">
      <c r="A486"/>
      <c r="B486" s="83" t="s">
        <v>5450</v>
      </c>
      <c r="Q486" s="22"/>
      <c r="R486" s="335"/>
    </row>
    <row r="487" spans="1:27" ht="26.5" x14ac:dyDescent="0.35">
      <c r="A487"/>
      <c r="G487" s="144" t="s">
        <v>5408</v>
      </c>
      <c r="H487" s="156" t="s">
        <v>5422</v>
      </c>
      <c r="I487" s="144" t="s">
        <v>5420</v>
      </c>
      <c r="J487" s="144" t="s">
        <v>5423</v>
      </c>
      <c r="K487" s="144" t="s">
        <v>5424</v>
      </c>
      <c r="L487" s="522"/>
      <c r="M487" s="523"/>
      <c r="N487" s="524"/>
      <c r="O487" s="525"/>
      <c r="Q487" s="22"/>
      <c r="R487" s="335"/>
      <c r="S487" s="22">
        <f>S483/300</f>
        <v>24666666666.666668</v>
      </c>
    </row>
    <row r="488" spans="1:27" x14ac:dyDescent="0.35">
      <c r="A488"/>
      <c r="B488"/>
      <c r="D488" t="s">
        <v>5421</v>
      </c>
      <c r="G488">
        <f>O467</f>
        <v>165</v>
      </c>
      <c r="H488">
        <f>24*365</f>
        <v>8760</v>
      </c>
      <c r="I488" s="12">
        <f>G488*1000/H488</f>
        <v>18.835616438356166</v>
      </c>
      <c r="J488" s="390">
        <v>3</v>
      </c>
      <c r="K488" s="335">
        <f>I488*J488</f>
        <v>56.506849315068493</v>
      </c>
      <c r="L488" s="521"/>
      <c r="M488" s="162"/>
      <c r="N488" s="220"/>
    </row>
    <row r="489" spans="1:27" x14ac:dyDescent="0.35">
      <c r="A489"/>
      <c r="B489"/>
      <c r="D489" t="s">
        <v>5451</v>
      </c>
      <c r="G489">
        <f>O468</f>
        <v>11460</v>
      </c>
      <c r="H489">
        <f>24*365</f>
        <v>8760</v>
      </c>
      <c r="I489" s="12">
        <f>G489*1000/H489</f>
        <v>1308.2191780821918</v>
      </c>
      <c r="J489" s="390">
        <v>3</v>
      </c>
      <c r="K489" s="335">
        <f>I489*J489</f>
        <v>3924.6575342465753</v>
      </c>
      <c r="L489" s="521"/>
      <c r="M489" s="162"/>
      <c r="N489" s="220"/>
    </row>
    <row r="490" spans="1:27" x14ac:dyDescent="0.35">
      <c r="A490"/>
      <c r="B490"/>
      <c r="I490" s="12"/>
      <c r="J490" s="390"/>
      <c r="K490" s="335"/>
      <c r="L490" s="521"/>
      <c r="M490" s="162"/>
      <c r="N490" s="220"/>
    </row>
    <row r="491" spans="1:27" ht="39.5" x14ac:dyDescent="0.35">
      <c r="A491"/>
      <c r="B491" s="83" t="s">
        <v>5412</v>
      </c>
      <c r="G491" s="144" t="s">
        <v>5411</v>
      </c>
      <c r="H491" s="144" t="s">
        <v>5413</v>
      </c>
      <c r="I491" s="144" t="s">
        <v>5414</v>
      </c>
      <c r="J491" s="144" t="s">
        <v>5415</v>
      </c>
      <c r="K491" s="22"/>
      <c r="L491" s="521"/>
      <c r="M491" s="162"/>
      <c r="N491" s="220"/>
    </row>
    <row r="492" spans="1:27" x14ac:dyDescent="0.35">
      <c r="A492"/>
      <c r="B492"/>
      <c r="D492" t="s">
        <v>5416</v>
      </c>
      <c r="G492">
        <f>K481</f>
        <v>152</v>
      </c>
      <c r="H492">
        <v>3.3</v>
      </c>
      <c r="I492" s="12">
        <f>((H492/2)^2)*3.1</f>
        <v>8.4397500000000001</v>
      </c>
      <c r="J492" s="335">
        <f>G492/I492</f>
        <v>18.010012144909506</v>
      </c>
      <c r="K492" s="22"/>
      <c r="L492" s="521" t="s">
        <v>5419</v>
      </c>
      <c r="M492" s="162"/>
      <c r="N492" s="220"/>
    </row>
    <row r="493" spans="1:27" x14ac:dyDescent="0.35">
      <c r="A493"/>
      <c r="B493"/>
      <c r="D493" t="s">
        <v>5417</v>
      </c>
      <c r="G493">
        <f>K482</f>
        <v>364.8</v>
      </c>
      <c r="H493">
        <v>3.3</v>
      </c>
      <c r="I493" s="12">
        <f>((H493/2)^2)*3.1</f>
        <v>8.4397500000000001</v>
      </c>
      <c r="J493" s="335">
        <f>G493/I493</f>
        <v>43.224029147782815</v>
      </c>
      <c r="K493" s="22"/>
      <c r="L493" s="521" t="s">
        <v>5418</v>
      </c>
      <c r="M493" s="162"/>
      <c r="N493" s="220"/>
    </row>
    <row r="494" spans="1:27" x14ac:dyDescent="0.35">
      <c r="A494"/>
      <c r="B494"/>
      <c r="D494" t="s">
        <v>5451</v>
      </c>
      <c r="G494" s="162">
        <v>25000</v>
      </c>
      <c r="I494" s="162">
        <f>G494</f>
        <v>25000</v>
      </c>
      <c r="J494" s="335">
        <f>G494/I494</f>
        <v>1</v>
      </c>
      <c r="K494" s="22"/>
      <c r="L494" s="521"/>
      <c r="M494" s="162"/>
      <c r="N494" s="220"/>
    </row>
    <row r="495" spans="1:27" x14ac:dyDescent="0.35">
      <c r="A495"/>
      <c r="B495"/>
      <c r="L495" s="1"/>
    </row>
    <row r="496" spans="1:27" x14ac:dyDescent="0.35">
      <c r="A496"/>
      <c r="B496" s="83" t="s">
        <v>5390</v>
      </c>
      <c r="D496" t="s">
        <v>5383</v>
      </c>
      <c r="J496" s="335"/>
      <c r="L496" s="1" t="s">
        <v>5382</v>
      </c>
    </row>
    <row r="497" spans="1:12" x14ac:dyDescent="0.35">
      <c r="A497"/>
      <c r="B497"/>
      <c r="D497" t="s">
        <v>5389</v>
      </c>
      <c r="L497" s="1" t="s">
        <v>5388</v>
      </c>
    </row>
    <row r="499" spans="1:12" s="88" customFormat="1" x14ac:dyDescent="0.35">
      <c r="A499" s="86" t="s">
        <v>1430</v>
      </c>
    </row>
    <row r="501" spans="1:12" x14ac:dyDescent="0.35">
      <c r="C501" t="s">
        <v>1432</v>
      </c>
      <c r="F501" s="1" t="s">
        <v>1431</v>
      </c>
    </row>
    <row r="502" spans="1:12" x14ac:dyDescent="0.35">
      <c r="C502" t="s">
        <v>1434</v>
      </c>
      <c r="F502" s="1" t="s">
        <v>1433</v>
      </c>
    </row>
    <row r="504" spans="1:12" x14ac:dyDescent="0.35">
      <c r="C504">
        <v>3000</v>
      </c>
      <c r="D504" t="s">
        <v>519</v>
      </c>
    </row>
    <row r="505" spans="1:12" x14ac:dyDescent="0.35">
      <c r="C505">
        <v>10000</v>
      </c>
      <c r="D505" t="s">
        <v>1435</v>
      </c>
    </row>
    <row r="506" spans="1:12" x14ac:dyDescent="0.35">
      <c r="C506" s="166">
        <f>C504*C505</f>
        <v>30000000</v>
      </c>
      <c r="D506" t="s">
        <v>1063</v>
      </c>
    </row>
    <row r="507" spans="1:12" x14ac:dyDescent="0.35">
      <c r="C507" s="22">
        <v>1000000000</v>
      </c>
      <c r="D507" t="s">
        <v>4</v>
      </c>
    </row>
    <row r="508" spans="1:12" x14ac:dyDescent="0.35">
      <c r="C508" s="8">
        <f>C506/C507</f>
        <v>0.03</v>
      </c>
      <c r="D508" t="s">
        <v>1436</v>
      </c>
    </row>
    <row r="509" spans="1:12" x14ac:dyDescent="0.35">
      <c r="C509" s="8"/>
    </row>
    <row r="510" spans="1:12" s="88" customFormat="1" x14ac:dyDescent="0.35">
      <c r="A510" s="86" t="s">
        <v>3492</v>
      </c>
    </row>
    <row r="511" spans="1:12" x14ac:dyDescent="0.35">
      <c r="C511" s="8"/>
    </row>
    <row r="512" spans="1:12" x14ac:dyDescent="0.35">
      <c r="B512" s="83" t="s">
        <v>3493</v>
      </c>
      <c r="C512" s="8"/>
    </row>
    <row r="513" spans="2:7" x14ac:dyDescent="0.35">
      <c r="C513" t="s">
        <v>3494</v>
      </c>
      <c r="E513" t="s">
        <v>58</v>
      </c>
      <c r="F513">
        <v>0.3</v>
      </c>
      <c r="G513">
        <v>0.3</v>
      </c>
    </row>
    <row r="514" spans="2:7" x14ac:dyDescent="0.35">
      <c r="C514" t="s">
        <v>3495</v>
      </c>
      <c r="E514" t="s">
        <v>58</v>
      </c>
      <c r="F514">
        <v>0.3</v>
      </c>
      <c r="G514">
        <v>0.3</v>
      </c>
    </row>
    <row r="515" spans="2:7" x14ac:dyDescent="0.35">
      <c r="C515" t="s">
        <v>3496</v>
      </c>
      <c r="E515" t="s">
        <v>58</v>
      </c>
      <c r="F515">
        <v>0.3</v>
      </c>
      <c r="G515">
        <v>0.3</v>
      </c>
    </row>
    <row r="516" spans="2:7" x14ac:dyDescent="0.35">
      <c r="C516" t="s">
        <v>3497</v>
      </c>
      <c r="E516" t="s">
        <v>1167</v>
      </c>
      <c r="F516" s="17">
        <v>2.5</v>
      </c>
      <c r="G516" s="17">
        <v>2.5</v>
      </c>
    </row>
    <row r="517" spans="2:7" x14ac:dyDescent="0.35">
      <c r="C517" t="s">
        <v>3498</v>
      </c>
      <c r="E517" t="s">
        <v>58</v>
      </c>
      <c r="F517">
        <f>F513+F514+(F515*F516)</f>
        <v>1.35</v>
      </c>
      <c r="G517">
        <f>G513+G514+(G515*G516)</f>
        <v>1.35</v>
      </c>
    </row>
    <row r="518" spans="2:7" x14ac:dyDescent="0.35">
      <c r="C518" t="s">
        <v>3499</v>
      </c>
      <c r="F518" s="73" t="s">
        <v>3500</v>
      </c>
      <c r="G518" s="73" t="s">
        <v>3500</v>
      </c>
    </row>
    <row r="519" spans="2:7" x14ac:dyDescent="0.35">
      <c r="C519" t="s">
        <v>3501</v>
      </c>
      <c r="F519">
        <v>7900</v>
      </c>
      <c r="G519">
        <v>7900</v>
      </c>
    </row>
    <row r="520" spans="2:7" x14ac:dyDescent="0.35">
      <c r="C520" t="s">
        <v>3503</v>
      </c>
      <c r="E520" t="s">
        <v>3502</v>
      </c>
      <c r="F520">
        <f>1*1*F517/1000</f>
        <v>1.3500000000000001E-3</v>
      </c>
      <c r="G520">
        <f>1*1*G517/1000</f>
        <v>1.3500000000000001E-3</v>
      </c>
    </row>
    <row r="521" spans="2:7" x14ac:dyDescent="0.35">
      <c r="C521" t="s">
        <v>3504</v>
      </c>
      <c r="F521" s="13">
        <f>F520*F519</f>
        <v>10.665000000000001</v>
      </c>
      <c r="G521" s="13">
        <f>G520*G519</f>
        <v>10.665000000000001</v>
      </c>
    </row>
    <row r="522" spans="2:7" x14ac:dyDescent="0.35">
      <c r="C522" t="s">
        <v>3505</v>
      </c>
      <c r="F522" s="13">
        <f>F521*2</f>
        <v>21.330000000000002</v>
      </c>
      <c r="G522" s="13">
        <f>G521*2</f>
        <v>21.330000000000002</v>
      </c>
    </row>
    <row r="523" spans="2:7" x14ac:dyDescent="0.35">
      <c r="C523" t="s">
        <v>3506</v>
      </c>
      <c r="F523" s="186">
        <v>0.5</v>
      </c>
      <c r="G523" s="186">
        <v>0.5</v>
      </c>
    </row>
    <row r="524" spans="2:7" x14ac:dyDescent="0.35">
      <c r="C524" t="s">
        <v>3507</v>
      </c>
      <c r="F524" s="186">
        <f>F523*F522</f>
        <v>10.665000000000001</v>
      </c>
      <c r="G524" s="186">
        <f>G523*G522</f>
        <v>10.665000000000001</v>
      </c>
    </row>
    <row r="526" spans="2:7" x14ac:dyDescent="0.35">
      <c r="B526" s="83" t="s">
        <v>3508</v>
      </c>
    </row>
    <row r="527" spans="2:7" x14ac:dyDescent="0.35">
      <c r="C527" t="s">
        <v>932</v>
      </c>
      <c r="E527" t="s">
        <v>352</v>
      </c>
      <c r="F527">
        <v>2</v>
      </c>
      <c r="G527">
        <v>2</v>
      </c>
    </row>
    <row r="528" spans="2:7" x14ac:dyDescent="0.35">
      <c r="C528" t="s">
        <v>933</v>
      </c>
      <c r="E528" t="s">
        <v>352</v>
      </c>
      <c r="F528">
        <v>50</v>
      </c>
      <c r="G528">
        <v>10</v>
      </c>
    </row>
    <row r="529" spans="1:10" x14ac:dyDescent="0.35">
      <c r="C529" t="s">
        <v>2790</v>
      </c>
      <c r="E529" t="s">
        <v>3509</v>
      </c>
      <c r="F529">
        <f>F527*F528</f>
        <v>100</v>
      </c>
      <c r="G529">
        <f>G527*G528</f>
        <v>20</v>
      </c>
    </row>
    <row r="530" spans="1:10" x14ac:dyDescent="0.35">
      <c r="C530" t="s">
        <v>2797</v>
      </c>
      <c r="E530" t="s">
        <v>67</v>
      </c>
      <c r="F530" s="15">
        <f>F529*F521</f>
        <v>1066.5</v>
      </c>
      <c r="G530" s="15">
        <f>G529*G521</f>
        <v>213.3</v>
      </c>
    </row>
    <row r="531" spans="1:10" x14ac:dyDescent="0.35">
      <c r="C531" t="s">
        <v>3510</v>
      </c>
      <c r="E531" t="s">
        <v>1263</v>
      </c>
      <c r="F531" s="390">
        <f>F530*2.2*F523</f>
        <v>1173.1500000000001</v>
      </c>
      <c r="G531" s="390">
        <f>G530*2.2*G523</f>
        <v>234.63000000000002</v>
      </c>
    </row>
    <row r="533" spans="1:10" s="88" customFormat="1" x14ac:dyDescent="0.35">
      <c r="A533" s="86" t="s">
        <v>1676</v>
      </c>
    </row>
    <row r="535" spans="1:10" x14ac:dyDescent="0.35">
      <c r="B535" s="83" t="s">
        <v>1675</v>
      </c>
    </row>
    <row r="536" spans="1:10" x14ac:dyDescent="0.35">
      <c r="C536" t="s">
        <v>1206</v>
      </c>
      <c r="E536" t="s">
        <v>351</v>
      </c>
      <c r="F536">
        <v>8</v>
      </c>
    </row>
    <row r="537" spans="1:10" x14ac:dyDescent="0.35">
      <c r="C537" t="s">
        <v>932</v>
      </c>
      <c r="E537" t="s">
        <v>351</v>
      </c>
      <c r="F537">
        <v>12</v>
      </c>
    </row>
    <row r="538" spans="1:10" x14ac:dyDescent="0.35">
      <c r="C538" t="s">
        <v>933</v>
      </c>
      <c r="E538" t="s">
        <v>351</v>
      </c>
      <c r="F538">
        <v>25</v>
      </c>
    </row>
    <row r="539" spans="1:10" x14ac:dyDescent="0.35">
      <c r="C539" t="s">
        <v>1680</v>
      </c>
      <c r="E539" t="s">
        <v>520</v>
      </c>
      <c r="F539">
        <f>F537*F538</f>
        <v>300</v>
      </c>
    </row>
    <row r="540" spans="1:10" x14ac:dyDescent="0.35">
      <c r="C540" t="s">
        <v>1677</v>
      </c>
      <c r="E540" t="s">
        <v>520</v>
      </c>
      <c r="F540">
        <f>F536*(F537+F537+F538+F538)</f>
        <v>592</v>
      </c>
    </row>
    <row r="541" spans="1:10" x14ac:dyDescent="0.35">
      <c r="C541" t="s">
        <v>1678</v>
      </c>
      <c r="E541" t="s">
        <v>520</v>
      </c>
      <c r="F541">
        <f>F540+F539+F539</f>
        <v>1192</v>
      </c>
    </row>
    <row r="542" spans="1:10" x14ac:dyDescent="0.35">
      <c r="C542" t="s">
        <v>1739</v>
      </c>
      <c r="E542" t="s">
        <v>520</v>
      </c>
      <c r="F542">
        <f>F540+F539</f>
        <v>892</v>
      </c>
    </row>
    <row r="543" spans="1:10" x14ac:dyDescent="0.35">
      <c r="C543" t="s">
        <v>1679</v>
      </c>
      <c r="E543" t="s">
        <v>993</v>
      </c>
      <c r="F543">
        <f>F536*F537*F538</f>
        <v>2400</v>
      </c>
    </row>
    <row r="544" spans="1:10" x14ac:dyDescent="0.35">
      <c r="C544" t="s">
        <v>1682</v>
      </c>
      <c r="E544" t="s">
        <v>69</v>
      </c>
      <c r="F544">
        <f>F540*2.25</f>
        <v>1332</v>
      </c>
      <c r="J544" t="s">
        <v>1681</v>
      </c>
    </row>
    <row r="545" spans="1:15" x14ac:dyDescent="0.35">
      <c r="C545" t="s">
        <v>1683</v>
      </c>
      <c r="E545" t="s">
        <v>69</v>
      </c>
      <c r="F545" s="15">
        <f>K436*F543</f>
        <v>179.79264000000001</v>
      </c>
    </row>
    <row r="546" spans="1:15" x14ac:dyDescent="0.35">
      <c r="C546" t="s">
        <v>1741</v>
      </c>
      <c r="E546" t="s">
        <v>1263</v>
      </c>
      <c r="F546" s="124">
        <f>F542*'ZE House'!J268</f>
        <v>543.5625</v>
      </c>
    </row>
    <row r="547" spans="1:15" x14ac:dyDescent="0.35">
      <c r="F547" s="15"/>
    </row>
    <row r="549" spans="1:15" s="88" customFormat="1" x14ac:dyDescent="0.35">
      <c r="A549" s="86" t="s">
        <v>7946</v>
      </c>
    </row>
    <row r="551" spans="1:15" x14ac:dyDescent="0.35">
      <c r="B551" s="83" t="s">
        <v>1377</v>
      </c>
    </row>
    <row r="552" spans="1:15" x14ac:dyDescent="0.35">
      <c r="C552" t="s">
        <v>1708</v>
      </c>
      <c r="O552" s="1" t="s">
        <v>1699</v>
      </c>
    </row>
    <row r="553" spans="1:15" x14ac:dyDescent="0.35">
      <c r="C553" t="s">
        <v>1709</v>
      </c>
      <c r="O553" s="1" t="s">
        <v>1710</v>
      </c>
    </row>
    <row r="554" spans="1:15" x14ac:dyDescent="0.35">
      <c r="C554" t="s">
        <v>1711</v>
      </c>
      <c r="O554" s="1" t="s">
        <v>1712</v>
      </c>
    </row>
    <row r="555" spans="1:15" x14ac:dyDescent="0.35">
      <c r="C555" t="s">
        <v>1724</v>
      </c>
      <c r="O555" s="1" t="s">
        <v>1723</v>
      </c>
    </row>
    <row r="556" spans="1:15" x14ac:dyDescent="0.35">
      <c r="O556" s="1"/>
    </row>
    <row r="557" spans="1:15" x14ac:dyDescent="0.35">
      <c r="B557" s="83" t="s">
        <v>1707</v>
      </c>
    </row>
    <row r="558" spans="1:15" x14ac:dyDescent="0.35">
      <c r="C558" t="s">
        <v>1714</v>
      </c>
      <c r="O558" s="1" t="s">
        <v>1706</v>
      </c>
    </row>
    <row r="559" spans="1:15" x14ac:dyDescent="0.35">
      <c r="C559" t="s">
        <v>1726</v>
      </c>
      <c r="O559" s="1" t="s">
        <v>1725</v>
      </c>
    </row>
    <row r="560" spans="1:15" x14ac:dyDescent="0.35">
      <c r="C560" t="s">
        <v>1715</v>
      </c>
      <c r="O560" s="1" t="s">
        <v>1713</v>
      </c>
    </row>
    <row r="561" spans="2:16" x14ac:dyDescent="0.35">
      <c r="C561" t="s">
        <v>1717</v>
      </c>
      <c r="O561" s="1" t="s">
        <v>1716</v>
      </c>
    </row>
    <row r="562" spans="2:16" x14ac:dyDescent="0.35">
      <c r="C562" t="s">
        <v>1720</v>
      </c>
      <c r="O562" s="1" t="s">
        <v>1718</v>
      </c>
      <c r="P562" s="3"/>
    </row>
    <row r="563" spans="2:16" x14ac:dyDescent="0.35">
      <c r="C563" t="s">
        <v>1721</v>
      </c>
      <c r="O563" s="1" t="s">
        <v>1719</v>
      </c>
    </row>
    <row r="564" spans="2:16" x14ac:dyDescent="0.35">
      <c r="C564" t="s">
        <v>1728</v>
      </c>
      <c r="O564" s="1" t="s">
        <v>1727</v>
      </c>
    </row>
    <row r="565" spans="2:16" x14ac:dyDescent="0.35">
      <c r="D565" t="s">
        <v>1730</v>
      </c>
      <c r="O565" s="1" t="s">
        <v>1729</v>
      </c>
    </row>
    <row r="566" spans="2:16" x14ac:dyDescent="0.35">
      <c r="C566" t="s">
        <v>1732</v>
      </c>
      <c r="O566" s="1" t="s">
        <v>1731</v>
      </c>
    </row>
    <row r="568" spans="2:16" x14ac:dyDescent="0.35">
      <c r="B568" s="83" t="s">
        <v>1733</v>
      </c>
    </row>
    <row r="569" spans="2:16" x14ac:dyDescent="0.35">
      <c r="C569" t="s">
        <v>1734</v>
      </c>
      <c r="O569" s="1" t="s">
        <v>1735</v>
      </c>
    </row>
    <row r="571" spans="2:16" x14ac:dyDescent="0.35">
      <c r="B571" s="83" t="s">
        <v>1737</v>
      </c>
    </row>
    <row r="572" spans="2:16" x14ac:dyDescent="0.35">
      <c r="C572" t="s">
        <v>1761</v>
      </c>
      <c r="O572" s="1" t="s">
        <v>1758</v>
      </c>
    </row>
    <row r="573" spans="2:16" x14ac:dyDescent="0.35">
      <c r="D573" t="s">
        <v>1760</v>
      </c>
      <c r="O573" s="1" t="s">
        <v>1759</v>
      </c>
    </row>
    <row r="574" spans="2:16" x14ac:dyDescent="0.35">
      <c r="C574" t="s">
        <v>1742</v>
      </c>
      <c r="O574" s="1" t="s">
        <v>1736</v>
      </c>
    </row>
    <row r="575" spans="2:16" x14ac:dyDescent="0.35">
      <c r="C575" t="s">
        <v>1748</v>
      </c>
      <c r="O575" s="1" t="s">
        <v>1747</v>
      </c>
    </row>
    <row r="576" spans="2:16" x14ac:dyDescent="0.35">
      <c r="C576" t="s">
        <v>1751</v>
      </c>
      <c r="O576" s="1" t="s">
        <v>1749</v>
      </c>
    </row>
    <row r="577" spans="1:18" x14ac:dyDescent="0.35">
      <c r="C577" t="s">
        <v>1752</v>
      </c>
      <c r="O577" s="1" t="s">
        <v>1750</v>
      </c>
    </row>
    <row r="578" spans="1:18" x14ac:dyDescent="0.35">
      <c r="C578" t="s">
        <v>1744</v>
      </c>
      <c r="O578" s="1" t="s">
        <v>1743</v>
      </c>
    </row>
    <row r="579" spans="1:18" x14ac:dyDescent="0.35">
      <c r="C579" t="s">
        <v>1746</v>
      </c>
      <c r="O579" s="1" t="s">
        <v>1745</v>
      </c>
    </row>
    <row r="581" spans="1:18" x14ac:dyDescent="0.35">
      <c r="B581" s="83" t="s">
        <v>1753</v>
      </c>
    </row>
    <row r="582" spans="1:18" x14ac:dyDescent="0.35">
      <c r="C582" t="s">
        <v>1755</v>
      </c>
      <c r="O582" s="1" t="s">
        <v>1754</v>
      </c>
    </row>
    <row r="583" spans="1:18" x14ac:dyDescent="0.35">
      <c r="C583" t="s">
        <v>1756</v>
      </c>
      <c r="O583" s="1" t="s">
        <v>1757</v>
      </c>
      <c r="P583" s="3" t="s">
        <v>1590</v>
      </c>
    </row>
    <row r="585" spans="1:18" s="5" customFormat="1" x14ac:dyDescent="0.35">
      <c r="A585" s="86" t="s">
        <v>3912</v>
      </c>
    </row>
    <row r="586" spans="1:18" x14ac:dyDescent="0.35">
      <c r="D586" s="391"/>
      <c r="G586" s="186"/>
      <c r="H586" s="53"/>
    </row>
    <row r="587" spans="1:18" x14ac:dyDescent="0.35">
      <c r="B587" s="83" t="s">
        <v>1586</v>
      </c>
      <c r="D587" t="s">
        <v>3157</v>
      </c>
      <c r="M587" s="1" t="s">
        <v>3156</v>
      </c>
      <c r="O587" t="s">
        <v>0</v>
      </c>
    </row>
    <row r="588" spans="1:18" x14ac:dyDescent="0.35">
      <c r="D588" t="s">
        <v>3174</v>
      </c>
      <c r="M588" s="1" t="s">
        <v>3167</v>
      </c>
      <c r="O588" t="s">
        <v>0</v>
      </c>
    </row>
    <row r="589" spans="1:18" x14ac:dyDescent="0.35">
      <c r="D589" t="s">
        <v>3169</v>
      </c>
      <c r="M589" s="1" t="s">
        <v>3168</v>
      </c>
      <c r="O589" t="s">
        <v>0</v>
      </c>
    </row>
    <row r="590" spans="1:18" x14ac:dyDescent="0.35">
      <c r="D590" t="s">
        <v>3172</v>
      </c>
      <c r="M590" s="1" t="s">
        <v>3170</v>
      </c>
      <c r="O590" t="s">
        <v>0</v>
      </c>
    </row>
    <row r="591" spans="1:18" x14ac:dyDescent="0.35">
      <c r="D591" t="s">
        <v>3173</v>
      </c>
      <c r="M591" s="1" t="s">
        <v>3171</v>
      </c>
      <c r="O591" t="s">
        <v>0</v>
      </c>
      <c r="P591" s="1" t="s">
        <v>3175</v>
      </c>
      <c r="R591" t="s">
        <v>0</v>
      </c>
    </row>
    <row r="593" spans="1:17" x14ac:dyDescent="0.35">
      <c r="B593" s="83" t="s">
        <v>3913</v>
      </c>
      <c r="D593" s="333" t="s">
        <v>3916</v>
      </c>
      <c r="E593" s="333" t="s">
        <v>7947</v>
      </c>
      <c r="F593" s="333" t="s">
        <v>3914</v>
      </c>
      <c r="G593" s="333" t="s">
        <v>3915</v>
      </c>
      <c r="H593" s="333" t="s">
        <v>7948</v>
      </c>
      <c r="I593" s="333" t="s">
        <v>3918</v>
      </c>
      <c r="M593" s="548" t="s">
        <v>3920</v>
      </c>
      <c r="N593" s="4"/>
    </row>
    <row r="594" spans="1:17" x14ac:dyDescent="0.35">
      <c r="D594" s="391" t="s">
        <v>3917</v>
      </c>
      <c r="E594">
        <v>0.06</v>
      </c>
      <c r="F594">
        <v>4.0999999999999996</v>
      </c>
      <c r="G594" s="162">
        <v>10</v>
      </c>
      <c r="H594" s="335">
        <f>E594*G594</f>
        <v>0.6</v>
      </c>
      <c r="I594" s="162">
        <f>F594*G594</f>
        <v>41</v>
      </c>
      <c r="M594" s="1" t="s">
        <v>3911</v>
      </c>
      <c r="O594" t="s">
        <v>0</v>
      </c>
    </row>
    <row r="595" spans="1:17" x14ac:dyDescent="0.35">
      <c r="D595" s="391" t="s">
        <v>3919</v>
      </c>
      <c r="E595">
        <v>0.06</v>
      </c>
      <c r="F595">
        <v>4.0999999999999996</v>
      </c>
      <c r="G595" s="162">
        <v>50</v>
      </c>
      <c r="H595" s="335">
        <f>E595*G595</f>
        <v>3</v>
      </c>
      <c r="I595" s="162">
        <f>F595*G595</f>
        <v>204.99999999999997</v>
      </c>
    </row>
    <row r="596" spans="1:17" x14ac:dyDescent="0.35">
      <c r="D596" s="391" t="s">
        <v>4643</v>
      </c>
      <c r="E596">
        <v>0.05</v>
      </c>
      <c r="F596">
        <v>7</v>
      </c>
      <c r="G596" s="162">
        <v>100</v>
      </c>
      <c r="H596" s="335">
        <f>E596*G596</f>
        <v>5</v>
      </c>
      <c r="I596" s="162">
        <f>F596*G596</f>
        <v>700</v>
      </c>
      <c r="M596" s="1" t="s">
        <v>4642</v>
      </c>
      <c r="O596" t="s">
        <v>0</v>
      </c>
      <c r="Q596" t="s">
        <v>4644</v>
      </c>
    </row>
    <row r="597" spans="1:17" x14ac:dyDescent="0.35">
      <c r="D597" s="391"/>
      <c r="G597" s="162"/>
      <c r="H597" s="335"/>
      <c r="I597" s="162"/>
      <c r="M597" s="1"/>
    </row>
    <row r="598" spans="1:17" x14ac:dyDescent="0.35">
      <c r="B598" s="83" t="s">
        <v>4694</v>
      </c>
      <c r="D598" s="333" t="s">
        <v>4696</v>
      </c>
      <c r="E598" s="333" t="s">
        <v>4697</v>
      </c>
      <c r="F598" s="333" t="s">
        <v>4698</v>
      </c>
      <c r="G598" s="162"/>
      <c r="M598" s="1"/>
    </row>
    <row r="599" spans="1:17" x14ac:dyDescent="0.35">
      <c r="D599" s="391">
        <f>3/2.2</f>
        <v>1.3636363636363635</v>
      </c>
      <c r="E599" s="220">
        <f>20*2.54*26*2.54/(100*100)</f>
        <v>0.33548319999999998</v>
      </c>
      <c r="F599" s="13">
        <f>D599/E599</f>
        <v>4.0646934440722031</v>
      </c>
      <c r="G599" s="162"/>
      <c r="M599" s="1"/>
    </row>
    <row r="600" spans="1:17" x14ac:dyDescent="0.35">
      <c r="D600" s="391"/>
      <c r="E600" s="220"/>
      <c r="F600" s="13"/>
      <c r="G600" s="162"/>
      <c r="H600" s="335"/>
      <c r="I600" s="335"/>
      <c r="M600" s="1"/>
    </row>
    <row r="601" spans="1:17" x14ac:dyDescent="0.35">
      <c r="D601" s="333" t="s">
        <v>4699</v>
      </c>
      <c r="E601" s="333" t="s">
        <v>4700</v>
      </c>
      <c r="F601" s="333" t="s">
        <v>4701</v>
      </c>
      <c r="G601" s="333" t="s">
        <v>4696</v>
      </c>
      <c r="H601" s="333" t="s">
        <v>4695</v>
      </c>
      <c r="I601" s="335"/>
      <c r="M601" s="1"/>
    </row>
    <row r="602" spans="1:17" x14ac:dyDescent="0.35">
      <c r="D602" s="335">
        <v>2</v>
      </c>
      <c r="E602" s="335">
        <v>4</v>
      </c>
      <c r="F602">
        <f>E602*D602</f>
        <v>8</v>
      </c>
      <c r="G602" s="162">
        <f>F602*F599</f>
        <v>32.517547552577625</v>
      </c>
      <c r="H602" s="335">
        <f>2.2*G602</f>
        <v>71.538604615670778</v>
      </c>
      <c r="I602" s="335"/>
      <c r="M602" s="1"/>
    </row>
    <row r="603" spans="1:17" x14ac:dyDescent="0.35">
      <c r="D603" s="391"/>
      <c r="G603" s="162"/>
      <c r="H603" s="335"/>
      <c r="I603" s="162"/>
    </row>
    <row r="604" spans="1:17" s="5" customFormat="1" x14ac:dyDescent="0.35">
      <c r="A604" s="86" t="s">
        <v>8348</v>
      </c>
    </row>
    <row r="605" spans="1:17" x14ac:dyDescent="0.35">
      <c r="D605" s="391"/>
      <c r="G605" s="162"/>
      <c r="H605" s="335"/>
      <c r="I605" s="162"/>
    </row>
    <row r="606" spans="1:17" x14ac:dyDescent="0.35">
      <c r="B606" s="83" t="s">
        <v>8342</v>
      </c>
      <c r="D606" s="906" t="s">
        <v>8345</v>
      </c>
      <c r="G606" s="162"/>
      <c r="H606" s="335"/>
      <c r="I606" s="162"/>
      <c r="M606" s="1" t="s">
        <v>8343</v>
      </c>
    </row>
    <row r="607" spans="1:17" x14ac:dyDescent="0.35">
      <c r="D607" s="391" t="s">
        <v>8346</v>
      </c>
      <c r="G607" s="162"/>
      <c r="H607" s="335"/>
      <c r="I607" s="162"/>
      <c r="M607" s="1" t="s">
        <v>8344</v>
      </c>
    </row>
    <row r="608" spans="1:17" x14ac:dyDescent="0.35">
      <c r="D608" s="391" t="s">
        <v>8349</v>
      </c>
      <c r="G608" s="162"/>
      <c r="H608" s="335"/>
      <c r="I608" s="162"/>
      <c r="M608" s="1" t="s">
        <v>8347</v>
      </c>
    </row>
    <row r="609" spans="2:13" x14ac:dyDescent="0.35">
      <c r="D609" s="391"/>
      <c r="G609" s="162"/>
      <c r="H609" s="335"/>
      <c r="I609" s="162"/>
    </row>
    <row r="610" spans="2:13" x14ac:dyDescent="0.35">
      <c r="B610" s="83" t="s">
        <v>3521</v>
      </c>
      <c r="D610" t="s">
        <v>3523</v>
      </c>
      <c r="M610" s="1" t="s">
        <v>3522</v>
      </c>
    </row>
    <row r="611" spans="2:13" x14ac:dyDescent="0.35">
      <c r="D611" t="s">
        <v>3530</v>
      </c>
      <c r="M611" s="1" t="s">
        <v>3529</v>
      </c>
    </row>
    <row r="612" spans="2:13" x14ac:dyDescent="0.35">
      <c r="D612" t="s">
        <v>3532</v>
      </c>
      <c r="M612" s="1" t="s">
        <v>3531</v>
      </c>
    </row>
    <row r="613" spans="2:13" x14ac:dyDescent="0.35">
      <c r="D613" t="s">
        <v>3534</v>
      </c>
      <c r="M613" s="1" t="s">
        <v>3533</v>
      </c>
    </row>
    <row r="614" spans="2:13" x14ac:dyDescent="0.35">
      <c r="D614" t="s">
        <v>3536</v>
      </c>
      <c r="M614" s="1" t="s">
        <v>3535</v>
      </c>
    </row>
    <row r="615" spans="2:13" x14ac:dyDescent="0.35">
      <c r="D615" t="s">
        <v>9316</v>
      </c>
      <c r="M615" s="1" t="s">
        <v>9315</v>
      </c>
    </row>
    <row r="616" spans="2:13" x14ac:dyDescent="0.35">
      <c r="M616" s="1"/>
    </row>
    <row r="617" spans="2:13" x14ac:dyDescent="0.35">
      <c r="B617" s="83" t="s">
        <v>3821</v>
      </c>
      <c r="M617" s="1"/>
    </row>
    <row r="618" spans="2:13" x14ac:dyDescent="0.35">
      <c r="D618" t="s">
        <v>3820</v>
      </c>
      <c r="M618" s="1" t="s">
        <v>3822</v>
      </c>
    </row>
    <row r="620" spans="2:13" x14ac:dyDescent="0.35">
      <c r="B620" s="83" t="s">
        <v>3541</v>
      </c>
    </row>
    <row r="621" spans="2:13" x14ac:dyDescent="0.35">
      <c r="D621" t="s">
        <v>3527</v>
      </c>
      <c r="M621" s="1" t="s">
        <v>3524</v>
      </c>
    </row>
    <row r="622" spans="2:13" x14ac:dyDescent="0.35">
      <c r="D622" t="s">
        <v>3435</v>
      </c>
      <c r="M622" s="1" t="s">
        <v>3525</v>
      </c>
    </row>
    <row r="623" spans="2:13" x14ac:dyDescent="0.35">
      <c r="D623" t="s">
        <v>3538</v>
      </c>
      <c r="M623" s="1" t="s">
        <v>3537</v>
      </c>
    </row>
    <row r="624" spans="2:13" x14ac:dyDescent="0.35">
      <c r="D624" t="s">
        <v>3528</v>
      </c>
      <c r="M624" s="1" t="s">
        <v>3526</v>
      </c>
    </row>
    <row r="625" spans="2:13" x14ac:dyDescent="0.35">
      <c r="E625" t="s">
        <v>3542</v>
      </c>
      <c r="M625" s="1"/>
    </row>
    <row r="626" spans="2:13" x14ac:dyDescent="0.35">
      <c r="D626" t="s">
        <v>3540</v>
      </c>
      <c r="M626" s="1" t="s">
        <v>3539</v>
      </c>
    </row>
    <row r="627" spans="2:13" x14ac:dyDescent="0.35">
      <c r="D627" t="s">
        <v>3544</v>
      </c>
      <c r="M627" s="1" t="s">
        <v>3543</v>
      </c>
    </row>
    <row r="628" spans="2:13" x14ac:dyDescent="0.35">
      <c r="M628" s="1"/>
    </row>
    <row r="629" spans="2:13" x14ac:dyDescent="0.35">
      <c r="B629" s="83" t="s">
        <v>8104</v>
      </c>
      <c r="M629" s="1"/>
    </row>
    <row r="630" spans="2:13" x14ac:dyDescent="0.35">
      <c r="D630" t="s">
        <v>8107</v>
      </c>
      <c r="M630" s="1" t="s">
        <v>8106</v>
      </c>
    </row>
    <row r="631" spans="2:13" x14ac:dyDescent="0.35">
      <c r="D631" t="s">
        <v>8105</v>
      </c>
      <c r="M631" s="1" t="s">
        <v>8103</v>
      </c>
    </row>
    <row r="632" spans="2:13" x14ac:dyDescent="0.35">
      <c r="M632" s="1"/>
    </row>
    <row r="633" spans="2:13" x14ac:dyDescent="0.35">
      <c r="B633" s="83" t="s">
        <v>3558</v>
      </c>
      <c r="M633" s="1"/>
    </row>
    <row r="634" spans="2:13" x14ac:dyDescent="0.35">
      <c r="D634" t="s">
        <v>3546</v>
      </c>
      <c r="M634" s="1" t="s">
        <v>3545</v>
      </c>
    </row>
    <row r="635" spans="2:13" x14ac:dyDescent="0.35">
      <c r="D635" t="s">
        <v>3548</v>
      </c>
      <c r="M635" s="1" t="s">
        <v>3547</v>
      </c>
    </row>
    <row r="636" spans="2:13" x14ac:dyDescent="0.35">
      <c r="D636" t="s">
        <v>3550</v>
      </c>
      <c r="M636" s="6" t="s">
        <v>3549</v>
      </c>
    </row>
    <row r="637" spans="2:13" x14ac:dyDescent="0.35">
      <c r="D637" t="s">
        <v>3557</v>
      </c>
      <c r="M637" t="s">
        <v>3556</v>
      </c>
    </row>
    <row r="639" spans="2:13" x14ac:dyDescent="0.35">
      <c r="B639" s="83" t="s">
        <v>3559</v>
      </c>
    </row>
    <row r="640" spans="2:13" x14ac:dyDescent="0.35">
      <c r="D640" t="s">
        <v>3561</v>
      </c>
      <c r="M640" s="1" t="s">
        <v>3560</v>
      </c>
    </row>
    <row r="641" spans="2:13" x14ac:dyDescent="0.35">
      <c r="E641" t="s">
        <v>3563</v>
      </c>
      <c r="M641" s="1" t="s">
        <v>3562</v>
      </c>
    </row>
    <row r="642" spans="2:13" x14ac:dyDescent="0.35">
      <c r="D642" t="s">
        <v>1784</v>
      </c>
      <c r="M642" s="1" t="s">
        <v>1785</v>
      </c>
    </row>
    <row r="643" spans="2:13" x14ac:dyDescent="0.35">
      <c r="M643" s="1"/>
    </row>
    <row r="644" spans="2:13" x14ac:dyDescent="0.35">
      <c r="B644" s="83" t="s">
        <v>3551</v>
      </c>
      <c r="M644" s="6"/>
    </row>
    <row r="645" spans="2:13" x14ac:dyDescent="0.35">
      <c r="D645" t="s">
        <v>3553</v>
      </c>
      <c r="M645" s="1" t="s">
        <v>3552</v>
      </c>
    </row>
    <row r="646" spans="2:13" x14ac:dyDescent="0.35">
      <c r="D646" t="s">
        <v>3555</v>
      </c>
      <c r="M646" s="1" t="s">
        <v>3554</v>
      </c>
    </row>
    <row r="647" spans="2:13" x14ac:dyDescent="0.35">
      <c r="M647" s="1"/>
    </row>
    <row r="648" spans="2:13" x14ac:dyDescent="0.35">
      <c r="B648" s="83" t="s">
        <v>7403</v>
      </c>
      <c r="M648" s="1"/>
    </row>
    <row r="649" spans="2:13" x14ac:dyDescent="0.35">
      <c r="D649" t="s">
        <v>7405</v>
      </c>
      <c r="M649" s="6" t="s">
        <v>1406</v>
      </c>
    </row>
    <row r="650" spans="2:13" ht="15.5" x14ac:dyDescent="0.35">
      <c r="D650" t="s">
        <v>7406</v>
      </c>
      <c r="J650" s="790"/>
      <c r="M650" s="6" t="s">
        <v>7404</v>
      </c>
    </row>
    <row r="651" spans="2:13" ht="15.5" x14ac:dyDescent="0.35">
      <c r="J651" s="790"/>
      <c r="M651" s="6"/>
    </row>
    <row r="652" spans="2:13" x14ac:dyDescent="0.35">
      <c r="B652" s="83" t="s">
        <v>7420</v>
      </c>
      <c r="D652" t="s">
        <v>7408</v>
      </c>
      <c r="M652" s="6" t="s">
        <v>7407</v>
      </c>
    </row>
    <row r="653" spans="2:13" x14ac:dyDescent="0.35">
      <c r="D653" t="s">
        <v>7409</v>
      </c>
      <c r="M653" s="6" t="s">
        <v>5433</v>
      </c>
    </row>
    <row r="654" spans="2:13" x14ac:dyDescent="0.35">
      <c r="M654" s="6"/>
    </row>
    <row r="655" spans="2:13" x14ac:dyDescent="0.35">
      <c r="B655" s="83" t="s">
        <v>7419</v>
      </c>
      <c r="D655" t="s">
        <v>7415</v>
      </c>
      <c r="M655" s="6" t="s">
        <v>5560</v>
      </c>
    </row>
    <row r="656" spans="2:13" x14ac:dyDescent="0.35">
      <c r="D656" t="s">
        <v>7416</v>
      </c>
      <c r="M656" s="6" t="s">
        <v>5558</v>
      </c>
    </row>
    <row r="657" spans="1:13" x14ac:dyDescent="0.35">
      <c r="D657" t="s">
        <v>7418</v>
      </c>
      <c r="M657" s="6" t="s">
        <v>7417</v>
      </c>
    </row>
    <row r="658" spans="1:13" x14ac:dyDescent="0.35">
      <c r="D658" t="s">
        <v>7427</v>
      </c>
      <c r="M658" s="1" t="s">
        <v>7426</v>
      </c>
    </row>
    <row r="659" spans="1:13" x14ac:dyDescent="0.35">
      <c r="M659" s="1"/>
    </row>
    <row r="660" spans="1:13" x14ac:dyDescent="0.35">
      <c r="B660" s="83" t="s">
        <v>7410</v>
      </c>
    </row>
    <row r="661" spans="1:13" x14ac:dyDescent="0.35">
      <c r="D661" t="s">
        <v>5445</v>
      </c>
      <c r="M661" s="6" t="s">
        <v>5444</v>
      </c>
    </row>
    <row r="662" spans="1:13" x14ac:dyDescent="0.35">
      <c r="D662" t="s">
        <v>7414</v>
      </c>
      <c r="M662" s="6" t="s">
        <v>7411</v>
      </c>
    </row>
    <row r="663" spans="1:13" x14ac:dyDescent="0.35">
      <c r="D663" t="s">
        <v>7413</v>
      </c>
      <c r="M663" s="6" t="s">
        <v>7412</v>
      </c>
    </row>
    <row r="664" spans="1:13" x14ac:dyDescent="0.35">
      <c r="M664" s="6"/>
    </row>
    <row r="665" spans="1:13" x14ac:dyDescent="0.35">
      <c r="B665" s="83" t="s">
        <v>7423</v>
      </c>
      <c r="D665" s="391" t="s">
        <v>7422</v>
      </c>
      <c r="G665" s="186"/>
      <c r="H665" s="53"/>
      <c r="M665" s="6" t="s">
        <v>7421</v>
      </c>
    </row>
    <row r="666" spans="1:13" x14ac:dyDescent="0.35">
      <c r="D666" s="391"/>
      <c r="G666" s="186"/>
      <c r="H666" s="53"/>
      <c r="M666" s="6"/>
    </row>
    <row r="667" spans="1:13" s="5" customFormat="1" x14ac:dyDescent="0.35">
      <c r="A667" s="86" t="s">
        <v>6186</v>
      </c>
    </row>
    <row r="668" spans="1:13" x14ac:dyDescent="0.35">
      <c r="K668" s="170"/>
      <c r="M668" s="1"/>
    </row>
    <row r="669" spans="1:13" x14ac:dyDescent="0.35">
      <c r="B669" s="83" t="s">
        <v>3968</v>
      </c>
      <c r="K669" s="170"/>
      <c r="M669" s="1"/>
    </row>
    <row r="670" spans="1:13" x14ac:dyDescent="0.35">
      <c r="D670" t="s">
        <v>3967</v>
      </c>
      <c r="K670" s="170"/>
      <c r="M670" s="1" t="s">
        <v>3955</v>
      </c>
    </row>
    <row r="671" spans="1:13" x14ac:dyDescent="0.35">
      <c r="D671" t="s">
        <v>3957</v>
      </c>
      <c r="K671" s="170"/>
      <c r="M671" s="1" t="s">
        <v>3956</v>
      </c>
    </row>
    <row r="672" spans="1:13" x14ac:dyDescent="0.35">
      <c r="D672" t="s">
        <v>3969</v>
      </c>
      <c r="K672" s="170"/>
      <c r="M672" s="1" t="s">
        <v>3958</v>
      </c>
    </row>
    <row r="673" spans="2:13" x14ac:dyDescent="0.35">
      <c r="D673" t="s">
        <v>3959</v>
      </c>
      <c r="K673" s="170"/>
      <c r="M673" s="1" t="s">
        <v>3960</v>
      </c>
    </row>
    <row r="674" spans="2:13" x14ac:dyDescent="0.35">
      <c r="D674" t="s">
        <v>3962</v>
      </c>
      <c r="K674" s="170"/>
      <c r="M674" s="1" t="s">
        <v>3961</v>
      </c>
    </row>
    <row r="675" spans="2:13" x14ac:dyDescent="0.35">
      <c r="D675" t="s">
        <v>3964</v>
      </c>
      <c r="K675" s="170"/>
      <c r="M675" s="1" t="s">
        <v>3963</v>
      </c>
    </row>
    <row r="676" spans="2:13" x14ac:dyDescent="0.35">
      <c r="D676" t="s">
        <v>3965</v>
      </c>
      <c r="K676" s="170"/>
      <c r="M676" s="1" t="s">
        <v>3966</v>
      </c>
    </row>
    <row r="677" spans="2:13" x14ac:dyDescent="0.35">
      <c r="D677" t="s">
        <v>5116</v>
      </c>
      <c r="K677" s="170"/>
      <c r="M677" s="1" t="s">
        <v>5115</v>
      </c>
    </row>
    <row r="678" spans="2:13" x14ac:dyDescent="0.35">
      <c r="K678" s="170"/>
      <c r="M678" s="1"/>
    </row>
    <row r="679" spans="2:13" x14ac:dyDescent="0.35">
      <c r="B679" s="83" t="s">
        <v>3970</v>
      </c>
      <c r="K679" s="170"/>
      <c r="M679" s="1"/>
    </row>
    <row r="680" spans="2:13" x14ac:dyDescent="0.35">
      <c r="D680" t="s">
        <v>3971</v>
      </c>
      <c r="K680" s="170"/>
      <c r="M680" s="1" t="s">
        <v>3955</v>
      </c>
    </row>
    <row r="681" spans="2:13" x14ac:dyDescent="0.35">
      <c r="D681" t="s">
        <v>3991</v>
      </c>
      <c r="K681" s="170"/>
      <c r="M681" s="1" t="s">
        <v>3989</v>
      </c>
    </row>
    <row r="682" spans="2:13" x14ac:dyDescent="0.35">
      <c r="D682" t="s">
        <v>3994</v>
      </c>
      <c r="K682" s="170"/>
      <c r="M682" s="1" t="s">
        <v>3990</v>
      </c>
    </row>
    <row r="683" spans="2:13" x14ac:dyDescent="0.35">
      <c r="D683" t="s">
        <v>3993</v>
      </c>
      <c r="M683" s="1" t="s">
        <v>3992</v>
      </c>
    </row>
    <row r="684" spans="2:13" x14ac:dyDescent="0.35">
      <c r="D684" t="s">
        <v>3998</v>
      </c>
      <c r="M684" s="1" t="s">
        <v>3995</v>
      </c>
    </row>
    <row r="685" spans="2:13" x14ac:dyDescent="0.35">
      <c r="E685" t="s">
        <v>3528</v>
      </c>
      <c r="M685" s="1" t="s">
        <v>3526</v>
      </c>
    </row>
    <row r="686" spans="2:13" x14ac:dyDescent="0.35">
      <c r="E686" t="s">
        <v>3563</v>
      </c>
      <c r="M686" s="1" t="s">
        <v>3999</v>
      </c>
    </row>
    <row r="687" spans="2:13" x14ac:dyDescent="0.35">
      <c r="D687" t="s">
        <v>3997</v>
      </c>
      <c r="M687" s="1" t="s">
        <v>3996</v>
      </c>
    </row>
    <row r="689" spans="1:21" x14ac:dyDescent="0.35">
      <c r="B689" s="83" t="s">
        <v>3973</v>
      </c>
      <c r="K689" s="170"/>
    </row>
    <row r="690" spans="1:21" x14ac:dyDescent="0.35">
      <c r="D690" t="s">
        <v>3987</v>
      </c>
      <c r="K690" s="170"/>
      <c r="M690" s="1" t="s">
        <v>3975</v>
      </c>
      <c r="S690" s="1" t="s">
        <v>3972</v>
      </c>
    </row>
    <row r="691" spans="1:21" x14ac:dyDescent="0.35">
      <c r="D691" t="s">
        <v>3986</v>
      </c>
      <c r="K691" s="170"/>
      <c r="M691" s="1" t="s">
        <v>3988</v>
      </c>
    </row>
    <row r="692" spans="1:21" x14ac:dyDescent="0.35">
      <c r="D692" t="s">
        <v>3977</v>
      </c>
      <c r="K692" s="170"/>
      <c r="M692" s="1" t="s">
        <v>3974</v>
      </c>
    </row>
    <row r="693" spans="1:21" x14ac:dyDescent="0.35">
      <c r="D693" t="s">
        <v>3979</v>
      </c>
      <c r="K693" s="170"/>
      <c r="M693" s="1" t="s">
        <v>3976</v>
      </c>
      <c r="S693" s="1" t="s">
        <v>3978</v>
      </c>
    </row>
    <row r="694" spans="1:21" x14ac:dyDescent="0.35">
      <c r="D694" t="s">
        <v>3981</v>
      </c>
      <c r="K694" s="170"/>
      <c r="M694" s="1" t="s">
        <v>3980</v>
      </c>
    </row>
    <row r="695" spans="1:21" x14ac:dyDescent="0.35">
      <c r="D695" t="s">
        <v>3983</v>
      </c>
      <c r="K695" s="170"/>
      <c r="M695" s="1" t="s">
        <v>3982</v>
      </c>
    </row>
    <row r="696" spans="1:21" x14ac:dyDescent="0.35">
      <c r="D696" t="s">
        <v>3985</v>
      </c>
      <c r="K696" s="170"/>
      <c r="M696" s="1" t="s">
        <v>3984</v>
      </c>
    </row>
    <row r="697" spans="1:21" x14ac:dyDescent="0.35">
      <c r="B697" s="83" t="s">
        <v>4011</v>
      </c>
      <c r="K697" s="170"/>
      <c r="M697" s="1"/>
    </row>
    <row r="698" spans="1:21" x14ac:dyDescent="0.35">
      <c r="D698" t="s">
        <v>4012</v>
      </c>
      <c r="M698" s="1" t="s">
        <v>4010</v>
      </c>
    </row>
    <row r="699" spans="1:21" x14ac:dyDescent="0.35">
      <c r="M699" s="1"/>
    </row>
    <row r="700" spans="1:21" s="5" customFormat="1" x14ac:dyDescent="0.35">
      <c r="A700" s="86" t="s">
        <v>3912</v>
      </c>
    </row>
    <row r="701" spans="1:21" x14ac:dyDescent="0.35">
      <c r="G701" s="53"/>
      <c r="L701" s="10"/>
      <c r="M701" s="10"/>
      <c r="N701" s="15"/>
      <c r="O701" s="10"/>
      <c r="Q701" s="12"/>
      <c r="S701" s="295"/>
      <c r="T701" s="295"/>
      <c r="U701" s="295"/>
    </row>
    <row r="702" spans="1:21" x14ac:dyDescent="0.35">
      <c r="B702" s="83" t="s">
        <v>5428</v>
      </c>
      <c r="D702" t="s">
        <v>5439</v>
      </c>
      <c r="G702" s="53"/>
      <c r="K702" s="6" t="s">
        <v>5438</v>
      </c>
      <c r="L702" s="10"/>
      <c r="M702" s="10"/>
      <c r="N702" s="15"/>
      <c r="O702" s="10"/>
      <c r="Q702" s="12"/>
      <c r="S702" s="295"/>
      <c r="T702" s="295"/>
      <c r="U702" s="295"/>
    </row>
    <row r="703" spans="1:21" x14ac:dyDescent="0.35">
      <c r="D703" t="s">
        <v>5440</v>
      </c>
      <c r="G703" s="53"/>
      <c r="K703" s="6" t="s">
        <v>5429</v>
      </c>
      <c r="L703" s="10"/>
      <c r="M703" s="10"/>
      <c r="N703" s="15"/>
      <c r="O703" s="10"/>
      <c r="Q703" s="12"/>
      <c r="S703" s="295"/>
      <c r="T703" s="295"/>
      <c r="U703" s="295"/>
    </row>
    <row r="704" spans="1:21" x14ac:dyDescent="0.35">
      <c r="D704" t="s">
        <v>5432</v>
      </c>
      <c r="G704" s="53"/>
      <c r="K704" s="1" t="s">
        <v>5433</v>
      </c>
      <c r="L704" s="10"/>
      <c r="M704" s="10"/>
      <c r="N704" s="15"/>
      <c r="O704" s="10"/>
      <c r="Q704" s="12"/>
      <c r="S704" s="295"/>
      <c r="T704" s="295"/>
      <c r="U704" s="295"/>
    </row>
    <row r="705" spans="1:24" x14ac:dyDescent="0.35">
      <c r="D705" t="s">
        <v>5430</v>
      </c>
      <c r="G705" s="53"/>
      <c r="K705" s="6" t="s">
        <v>5431</v>
      </c>
      <c r="L705" s="10"/>
      <c r="M705" s="10"/>
      <c r="N705" s="15"/>
      <c r="O705" s="10"/>
      <c r="Q705" s="12"/>
      <c r="S705" s="295"/>
      <c r="T705" s="295"/>
      <c r="U705" s="295"/>
    </row>
    <row r="706" spans="1:24" x14ac:dyDescent="0.35">
      <c r="L706" s="155"/>
      <c r="M706" s="1"/>
      <c r="Q706" s="73"/>
      <c r="R706" s="1"/>
      <c r="T706" s="313"/>
      <c r="U706" s="1"/>
      <c r="W706" s="313"/>
      <c r="X706" s="1"/>
    </row>
    <row r="707" spans="1:24" x14ac:dyDescent="0.35">
      <c r="B707" s="83" t="s">
        <v>5441</v>
      </c>
      <c r="D707" t="s">
        <v>5437</v>
      </c>
      <c r="E707" s="155"/>
      <c r="F707" s="155"/>
      <c r="G707" s="155"/>
      <c r="H707" s="155"/>
      <c r="I707" s="155"/>
      <c r="J707" s="155"/>
      <c r="K707" s="1" t="s">
        <v>5436</v>
      </c>
      <c r="L707" s="155"/>
      <c r="M707" s="1"/>
      <c r="Q707" s="73"/>
      <c r="R707" s="1"/>
      <c r="T707" s="313"/>
      <c r="U707" s="1"/>
      <c r="W707" s="313"/>
      <c r="X707" s="1"/>
    </row>
    <row r="708" spans="1:24" x14ac:dyDescent="0.35">
      <c r="E708" s="155"/>
      <c r="F708" s="155"/>
      <c r="G708" s="155"/>
      <c r="H708" s="155"/>
      <c r="I708" s="155"/>
      <c r="J708" s="155"/>
      <c r="K708" s="1"/>
      <c r="L708" s="155"/>
      <c r="M708" s="1"/>
      <c r="Q708" s="73"/>
      <c r="R708" s="1"/>
      <c r="T708" s="313"/>
      <c r="U708" s="1"/>
      <c r="W708" s="313"/>
      <c r="X708" s="1"/>
    </row>
    <row r="709" spans="1:24" x14ac:dyDescent="0.35">
      <c r="B709" s="83" t="s">
        <v>5442</v>
      </c>
      <c r="D709" t="s">
        <v>5435</v>
      </c>
      <c r="G709" s="53"/>
      <c r="K709" s="1" t="s">
        <v>5434</v>
      </c>
      <c r="L709" s="10"/>
      <c r="M709" s="1"/>
      <c r="Q709" s="73"/>
      <c r="R709" s="1"/>
      <c r="T709" s="313"/>
      <c r="U709" s="1"/>
      <c r="W709" s="313"/>
      <c r="X709" s="1"/>
    </row>
    <row r="710" spans="1:24" x14ac:dyDescent="0.35">
      <c r="A710" s="87"/>
      <c r="D710" t="s">
        <v>269</v>
      </c>
      <c r="K710" t="s">
        <v>268</v>
      </c>
      <c r="S710">
        <v>10</v>
      </c>
      <c r="T710" t="s">
        <v>430</v>
      </c>
    </row>
    <row r="711" spans="1:24" x14ac:dyDescent="0.35">
      <c r="A711" s="87"/>
      <c r="D711" t="s">
        <v>343</v>
      </c>
      <c r="K711" t="s">
        <v>342</v>
      </c>
      <c r="S711">
        <f>150</f>
        <v>150</v>
      </c>
      <c r="T711" t="s">
        <v>431</v>
      </c>
    </row>
    <row r="712" spans="1:24" x14ac:dyDescent="0.35">
      <c r="A712" s="87"/>
      <c r="B712"/>
    </row>
    <row r="713" spans="1:24" x14ac:dyDescent="0.35">
      <c r="B713" s="83" t="s">
        <v>3912</v>
      </c>
      <c r="D713" t="s">
        <v>427</v>
      </c>
      <c r="K713" t="s">
        <v>426</v>
      </c>
    </row>
    <row r="714" spans="1:24" x14ac:dyDescent="0.35">
      <c r="D714" t="s">
        <v>429</v>
      </c>
      <c r="K714" t="s">
        <v>428</v>
      </c>
    </row>
    <row r="715" spans="1:24" x14ac:dyDescent="0.35">
      <c r="A715" s="87"/>
      <c r="D715" t="s">
        <v>591</v>
      </c>
      <c r="K715" s="1" t="s">
        <v>590</v>
      </c>
      <c r="S715">
        <f>S711*S710</f>
        <v>1500</v>
      </c>
      <c r="T715" t="s">
        <v>432</v>
      </c>
    </row>
    <row r="716" spans="1:24" x14ac:dyDescent="0.35">
      <c r="A716" s="87"/>
      <c r="D716" t="s">
        <v>5445</v>
      </c>
      <c r="K716" s="1" t="s">
        <v>5444</v>
      </c>
    </row>
    <row r="717" spans="1:24" x14ac:dyDescent="0.35">
      <c r="A717" s="87"/>
      <c r="D717" t="s">
        <v>5559</v>
      </c>
      <c r="K717" s="1" t="s">
        <v>5558</v>
      </c>
    </row>
    <row r="718" spans="1:24" x14ac:dyDescent="0.35">
      <c r="A718" s="87"/>
      <c r="D718" t="s">
        <v>5561</v>
      </c>
      <c r="K718" s="6" t="s">
        <v>5560</v>
      </c>
    </row>
    <row r="719" spans="1:24" x14ac:dyDescent="0.35">
      <c r="A719" s="87"/>
      <c r="K719" s="6"/>
    </row>
    <row r="720" spans="1:24" x14ac:dyDescent="0.35">
      <c r="A720" s="87"/>
      <c r="B720" s="83" t="s">
        <v>5443</v>
      </c>
    </row>
    <row r="721" spans="1:24" x14ac:dyDescent="0.35">
      <c r="A721" s="87"/>
      <c r="D721" t="s">
        <v>1057</v>
      </c>
      <c r="K721" s="1" t="s">
        <v>1058</v>
      </c>
    </row>
    <row r="722" spans="1:24" x14ac:dyDescent="0.35">
      <c r="A722" s="87"/>
      <c r="D722" t="s">
        <v>1059</v>
      </c>
      <c r="K722" s="1" t="s">
        <v>1060</v>
      </c>
    </row>
    <row r="723" spans="1:24" x14ac:dyDescent="0.35">
      <c r="A723" s="87"/>
      <c r="D723" t="s">
        <v>1323</v>
      </c>
      <c r="K723" s="1" t="s">
        <v>1322</v>
      </c>
    </row>
    <row r="724" spans="1:24" x14ac:dyDescent="0.35">
      <c r="A724" s="87"/>
      <c r="K724" s="1"/>
    </row>
    <row r="725" spans="1:24" s="5" customFormat="1" x14ac:dyDescent="0.35">
      <c r="A725" s="86" t="s">
        <v>3926</v>
      </c>
    </row>
    <row r="726" spans="1:24" x14ac:dyDescent="0.35">
      <c r="D726" s="295"/>
      <c r="E726" s="295"/>
      <c r="F726" s="295"/>
      <c r="G726" s="295"/>
      <c r="H726" s="295"/>
      <c r="I726" s="295"/>
      <c r="J726" s="295"/>
      <c r="K726" s="170"/>
      <c r="M726" s="1"/>
      <c r="Q726" s="73"/>
      <c r="R726" s="1"/>
      <c r="T726" s="313"/>
      <c r="U726" s="1"/>
      <c r="W726" s="313"/>
      <c r="X726" s="1"/>
    </row>
    <row r="727" spans="1:24" x14ac:dyDescent="0.35">
      <c r="B727" s="83" t="s">
        <v>3579</v>
      </c>
    </row>
    <row r="728" spans="1:24" x14ac:dyDescent="0.35">
      <c r="D728" t="s">
        <v>3576</v>
      </c>
      <c r="M728" s="1" t="s">
        <v>3575</v>
      </c>
    </row>
    <row r="729" spans="1:24" x14ac:dyDescent="0.35">
      <c r="D729" t="s">
        <v>3578</v>
      </c>
      <c r="M729" s="1" t="s">
        <v>3577</v>
      </c>
    </row>
    <row r="730" spans="1:24" x14ac:dyDescent="0.35">
      <c r="D730" t="s">
        <v>3580</v>
      </c>
      <c r="M730" s="1" t="s">
        <v>3581</v>
      </c>
    </row>
    <row r="731" spans="1:24" x14ac:dyDescent="0.35">
      <c r="D731" t="s">
        <v>3589</v>
      </c>
      <c r="M731" s="1" t="s">
        <v>3588</v>
      </c>
    </row>
    <row r="732" spans="1:24" x14ac:dyDescent="0.35">
      <c r="D732" t="s">
        <v>3591</v>
      </c>
      <c r="M732" s="1" t="s">
        <v>3590</v>
      </c>
    </row>
    <row r="733" spans="1:24" x14ac:dyDescent="0.35">
      <c r="D733" t="s">
        <v>3605</v>
      </c>
      <c r="J733" s="170" t="s">
        <v>3668</v>
      </c>
      <c r="M733" s="1" t="s">
        <v>3604</v>
      </c>
    </row>
    <row r="734" spans="1:24" x14ac:dyDescent="0.35">
      <c r="J734" s="170"/>
      <c r="M734" s="1"/>
    </row>
    <row r="735" spans="1:24" x14ac:dyDescent="0.35">
      <c r="B735" s="83" t="s">
        <v>3778</v>
      </c>
      <c r="J735" s="170"/>
      <c r="M735" s="1"/>
    </row>
    <row r="736" spans="1:24" x14ac:dyDescent="0.35">
      <c r="D736" t="s">
        <v>3779</v>
      </c>
      <c r="J736" s="170"/>
      <c r="M736" s="1" t="s">
        <v>3065</v>
      </c>
    </row>
    <row r="737" spans="2:35" x14ac:dyDescent="0.35">
      <c r="G737" s="1"/>
      <c r="J737" s="170"/>
      <c r="M737" s="1"/>
    </row>
    <row r="738" spans="2:35" x14ac:dyDescent="0.35">
      <c r="B738" s="83" t="s">
        <v>3706</v>
      </c>
      <c r="J738" s="170"/>
      <c r="M738" s="1"/>
    </row>
    <row r="739" spans="2:35" x14ac:dyDescent="0.35">
      <c r="D739" t="s">
        <v>3707</v>
      </c>
      <c r="M739" s="1" t="s">
        <v>3705</v>
      </c>
    </row>
    <row r="740" spans="2:35" x14ac:dyDescent="0.35">
      <c r="D740" t="s">
        <v>3708</v>
      </c>
      <c r="M740" s="1" t="s">
        <v>3709</v>
      </c>
    </row>
    <row r="741" spans="2:35" x14ac:dyDescent="0.35">
      <c r="D741" t="s">
        <v>3710</v>
      </c>
      <c r="M741" s="1" t="s">
        <v>3687</v>
      </c>
    </row>
    <row r="743" spans="2:35" x14ac:dyDescent="0.35">
      <c r="B743" s="83" t="s">
        <v>3689</v>
      </c>
      <c r="D743" s="335"/>
      <c r="E743" s="17"/>
      <c r="F743" s="335"/>
      <c r="J743" s="162"/>
    </row>
    <row r="744" spans="2:35" x14ac:dyDescent="0.35">
      <c r="D744" t="s">
        <v>3688</v>
      </c>
      <c r="E744" s="17"/>
      <c r="F744" s="335"/>
      <c r="J744" s="162"/>
      <c r="M744" s="1" t="s">
        <v>3687</v>
      </c>
      <c r="N744" t="s">
        <v>0</v>
      </c>
    </row>
    <row r="745" spans="2:35" x14ac:dyDescent="0.35">
      <c r="D745" t="s">
        <v>4233</v>
      </c>
      <c r="E745" s="17"/>
      <c r="F745" s="335"/>
      <c r="J745" s="162"/>
      <c r="M745" s="1" t="s">
        <v>4232</v>
      </c>
      <c r="O745" s="3" t="s">
        <v>1590</v>
      </c>
      <c r="P745" s="1" t="s">
        <v>4234</v>
      </c>
      <c r="Q745" s="3" t="s">
        <v>1590</v>
      </c>
      <c r="R745" s="1" t="s">
        <v>4235</v>
      </c>
      <c r="S745" s="3" t="s">
        <v>1590</v>
      </c>
    </row>
    <row r="746" spans="2:35" x14ac:dyDescent="0.35">
      <c r="E746" s="17"/>
      <c r="F746" s="335"/>
      <c r="J746" s="162"/>
      <c r="M746" s="1"/>
    </row>
    <row r="747" spans="2:35" x14ac:dyDescent="0.35">
      <c r="B747" s="83" t="s">
        <v>4231</v>
      </c>
      <c r="E747" s="17"/>
      <c r="F747" s="335"/>
      <c r="J747" s="162"/>
      <c r="M747" s="1"/>
    </row>
    <row r="748" spans="2:35" x14ac:dyDescent="0.35">
      <c r="D748" t="s">
        <v>4230</v>
      </c>
      <c r="M748" s="1" t="s">
        <v>4229</v>
      </c>
    </row>
    <row r="749" spans="2:35" x14ac:dyDescent="0.35">
      <c r="M749" s="1"/>
    </row>
    <row r="750" spans="2:35" x14ac:dyDescent="0.35">
      <c r="B750" s="83" t="s">
        <v>4466</v>
      </c>
      <c r="K750" s="170"/>
      <c r="M750" s="1"/>
    </row>
    <row r="751" spans="2:35" x14ac:dyDescent="0.35">
      <c r="B751" s="83" t="s">
        <v>0</v>
      </c>
      <c r="D751" t="s">
        <v>6161</v>
      </c>
      <c r="K751" s="170" t="s">
        <v>3668</v>
      </c>
      <c r="M751" s="1" t="s">
        <v>6160</v>
      </c>
    </row>
    <row r="752" spans="2:35" x14ac:dyDescent="0.35">
      <c r="B752" s="295"/>
      <c r="C752" s="155"/>
      <c r="D752" s="155" t="s">
        <v>6216</v>
      </c>
      <c r="E752" s="155"/>
      <c r="F752" s="155"/>
      <c r="G752" s="155"/>
      <c r="J752" s="155"/>
      <c r="K752" s="170"/>
      <c r="L752" s="155"/>
      <c r="M752" s="1" t="s">
        <v>6215</v>
      </c>
      <c r="O752" s="295"/>
      <c r="P752" s="317"/>
      <c r="Q752" s="12"/>
      <c r="V752" s="413"/>
      <c r="W752" s="413"/>
      <c r="X752" s="36"/>
      <c r="Y752" s="170"/>
      <c r="AC752" s="352"/>
      <c r="AD752" s="352"/>
      <c r="AE752" s="352"/>
      <c r="AF752" s="352"/>
      <c r="AG752" s="352"/>
      <c r="AH752" s="352"/>
      <c r="AI752" s="352"/>
    </row>
    <row r="753" spans="1:13" x14ac:dyDescent="0.35">
      <c r="D753" t="s">
        <v>3922</v>
      </c>
      <c r="K753" s="170"/>
      <c r="M753" s="1" t="s">
        <v>3895</v>
      </c>
    </row>
    <row r="754" spans="1:13" x14ac:dyDescent="0.35">
      <c r="D754" t="s">
        <v>3934</v>
      </c>
      <c r="K754" s="170"/>
      <c r="M754" s="1" t="s">
        <v>3921</v>
      </c>
    </row>
    <row r="755" spans="1:13" x14ac:dyDescent="0.35">
      <c r="D755" t="s">
        <v>3900</v>
      </c>
      <c r="K755" s="170"/>
      <c r="M755" s="1" t="s">
        <v>3899</v>
      </c>
    </row>
    <row r="756" spans="1:13" x14ac:dyDescent="0.35">
      <c r="D756" t="s">
        <v>3910</v>
      </c>
      <c r="M756" s="1" t="s">
        <v>3909</v>
      </c>
    </row>
    <row r="757" spans="1:13" x14ac:dyDescent="0.35">
      <c r="M757" s="1"/>
    </row>
    <row r="758" spans="1:13" x14ac:dyDescent="0.35">
      <c r="B758" s="83" t="s">
        <v>6224</v>
      </c>
      <c r="M758" s="1"/>
    </row>
    <row r="759" spans="1:13" x14ac:dyDescent="0.35">
      <c r="D759" t="s">
        <v>3889</v>
      </c>
      <c r="K759" s="170"/>
      <c r="M759" s="1" t="s">
        <v>3888</v>
      </c>
    </row>
    <row r="760" spans="1:13" x14ac:dyDescent="0.35">
      <c r="D760" t="s">
        <v>3901</v>
      </c>
      <c r="K760" s="170"/>
      <c r="M760" s="1" t="s">
        <v>3902</v>
      </c>
    </row>
    <row r="761" spans="1:13" x14ac:dyDescent="0.35">
      <c r="K761" s="170"/>
      <c r="M761" s="1"/>
    </row>
    <row r="762" spans="1:13" x14ac:dyDescent="0.35">
      <c r="B762" s="83" t="s">
        <v>4467</v>
      </c>
      <c r="M762" s="1"/>
    </row>
    <row r="763" spans="1:13" x14ac:dyDescent="0.35">
      <c r="D763" t="s">
        <v>4468</v>
      </c>
      <c r="M763" s="1" t="s">
        <v>4465</v>
      </c>
    </row>
    <row r="764" spans="1:13" x14ac:dyDescent="0.35">
      <c r="M764" s="1"/>
    </row>
    <row r="765" spans="1:13" x14ac:dyDescent="0.35">
      <c r="M765" s="1"/>
    </row>
    <row r="766" spans="1:13" s="5" customFormat="1" x14ac:dyDescent="0.35">
      <c r="A766" s="86" t="s">
        <v>4073</v>
      </c>
    </row>
    <row r="767" spans="1:13" x14ac:dyDescent="0.35">
      <c r="D767" s="391"/>
      <c r="F767" s="15"/>
      <c r="H767" s="162"/>
      <c r="J767" s="162"/>
    </row>
    <row r="768" spans="1:13" x14ac:dyDescent="0.35">
      <c r="B768" s="83" t="s">
        <v>8276</v>
      </c>
    </row>
    <row r="769" spans="2:13" x14ac:dyDescent="0.35">
      <c r="D769" t="s">
        <v>3218</v>
      </c>
      <c r="M769" s="1" t="s">
        <v>3217</v>
      </c>
    </row>
    <row r="770" spans="2:13" x14ac:dyDescent="0.35">
      <c r="D770" t="s">
        <v>8282</v>
      </c>
      <c r="E770" s="162"/>
      <c r="F770" s="162"/>
      <c r="G770" s="73"/>
      <c r="H770" s="313"/>
      <c r="I770" s="73"/>
      <c r="J770" s="73"/>
      <c r="K770" s="313"/>
      <c r="M770" s="1" t="s">
        <v>8280</v>
      </c>
    </row>
    <row r="771" spans="2:13" x14ac:dyDescent="0.35">
      <c r="D771" t="s">
        <v>8281</v>
      </c>
      <c r="M771" s="1" t="s">
        <v>3243</v>
      </c>
    </row>
    <row r="772" spans="2:13" x14ac:dyDescent="0.35">
      <c r="D772" s="95" t="s">
        <v>3219</v>
      </c>
      <c r="M772" s="1" t="s">
        <v>3220</v>
      </c>
    </row>
    <row r="773" spans="2:13" x14ac:dyDescent="0.35">
      <c r="D773" t="s">
        <v>8277</v>
      </c>
      <c r="M773" s="1" t="s">
        <v>3221</v>
      </c>
    </row>
    <row r="774" spans="2:13" x14ac:dyDescent="0.35">
      <c r="D774" t="s">
        <v>3222</v>
      </c>
      <c r="M774" s="1" t="s">
        <v>3223</v>
      </c>
    </row>
    <row r="775" spans="2:13" x14ac:dyDescent="0.35">
      <c r="D775" t="s">
        <v>8278</v>
      </c>
      <c r="M775" s="1" t="s">
        <v>8275</v>
      </c>
    </row>
    <row r="776" spans="2:13" x14ac:dyDescent="0.35">
      <c r="D776" t="s">
        <v>3225</v>
      </c>
      <c r="M776" s="1" t="s">
        <v>3224</v>
      </c>
    </row>
    <row r="777" spans="2:13" x14ac:dyDescent="0.35">
      <c r="D777" t="s">
        <v>3640</v>
      </c>
      <c r="M777" s="1" t="s">
        <v>3639</v>
      </c>
    </row>
    <row r="778" spans="2:13" x14ac:dyDescent="0.35">
      <c r="E778" s="162"/>
      <c r="F778" s="162"/>
      <c r="G778" s="73"/>
      <c r="H778" s="313"/>
      <c r="I778" s="73"/>
      <c r="J778" s="73"/>
      <c r="K778" s="313"/>
      <c r="M778" s="1"/>
    </row>
    <row r="779" spans="2:13" x14ac:dyDescent="0.35">
      <c r="B779" s="83" t="s">
        <v>3454</v>
      </c>
      <c r="M779" s="1"/>
    </row>
    <row r="780" spans="2:13" x14ac:dyDescent="0.35">
      <c r="D780" t="s">
        <v>4203</v>
      </c>
      <c r="M780" s="1" t="s">
        <v>4202</v>
      </c>
    </row>
    <row r="781" spans="2:13" x14ac:dyDescent="0.35">
      <c r="D781" t="s">
        <v>3453</v>
      </c>
      <c r="M781" s="1" t="s">
        <v>3452</v>
      </c>
    </row>
    <row r="782" spans="2:13" x14ac:dyDescent="0.35">
      <c r="D782" t="s">
        <v>3461</v>
      </c>
      <c r="M782" s="1" t="s">
        <v>3460</v>
      </c>
    </row>
    <row r="783" spans="2:13" x14ac:dyDescent="0.35">
      <c r="D783" t="s">
        <v>3463</v>
      </c>
      <c r="M783" s="1" t="s">
        <v>3462</v>
      </c>
    </row>
    <row r="784" spans="2:13" x14ac:dyDescent="0.35">
      <c r="D784" t="s">
        <v>3471</v>
      </c>
      <c r="M784" s="1" t="s">
        <v>3464</v>
      </c>
    </row>
    <row r="785" spans="2:13" x14ac:dyDescent="0.35">
      <c r="D785" t="s">
        <v>3470</v>
      </c>
      <c r="M785" s="1" t="s">
        <v>3469</v>
      </c>
    </row>
    <row r="786" spans="2:13" x14ac:dyDescent="0.35">
      <c r="D786" t="s">
        <v>3473</v>
      </c>
      <c r="M786" s="1" t="s">
        <v>3472</v>
      </c>
    </row>
    <row r="787" spans="2:13" x14ac:dyDescent="0.35">
      <c r="D787" t="s">
        <v>3475</v>
      </c>
      <c r="M787" s="1" t="s">
        <v>3474</v>
      </c>
    </row>
    <row r="788" spans="2:13" x14ac:dyDescent="0.35">
      <c r="D788" t="s">
        <v>3477</v>
      </c>
      <c r="M788" s="1" t="s">
        <v>3476</v>
      </c>
    </row>
    <row r="789" spans="2:13" x14ac:dyDescent="0.35">
      <c r="D789" t="s">
        <v>3479</v>
      </c>
      <c r="M789" s="1" t="s">
        <v>3478</v>
      </c>
    </row>
    <row r="790" spans="2:13" x14ac:dyDescent="0.35">
      <c r="D790" t="s">
        <v>3481</v>
      </c>
      <c r="M790" s="1" t="s">
        <v>3480</v>
      </c>
    </row>
    <row r="791" spans="2:13" x14ac:dyDescent="0.35">
      <c r="D791" t="s">
        <v>3616</v>
      </c>
      <c r="M791" s="1" t="s">
        <v>3615</v>
      </c>
    </row>
    <row r="792" spans="2:13" x14ac:dyDescent="0.35">
      <c r="D792" t="s">
        <v>3684</v>
      </c>
      <c r="M792" s="1" t="s">
        <v>3683</v>
      </c>
    </row>
    <row r="793" spans="2:13" x14ac:dyDescent="0.35">
      <c r="M793" s="1"/>
    </row>
    <row r="794" spans="2:13" x14ac:dyDescent="0.35">
      <c r="B794" s="83" t="s">
        <v>4185</v>
      </c>
      <c r="M794" s="1"/>
    </row>
    <row r="795" spans="2:13" x14ac:dyDescent="0.35">
      <c r="D795" t="s">
        <v>4186</v>
      </c>
      <c r="M795" s="1" t="s">
        <v>4184</v>
      </c>
    </row>
    <row r="796" spans="2:13" x14ac:dyDescent="0.35">
      <c r="D796" t="s">
        <v>4188</v>
      </c>
      <c r="M796" s="1" t="s">
        <v>4187</v>
      </c>
    </row>
    <row r="797" spans="2:13" x14ac:dyDescent="0.35">
      <c r="D797" t="s">
        <v>4190</v>
      </c>
      <c r="M797" s="1" t="s">
        <v>4189</v>
      </c>
    </row>
    <row r="798" spans="2:13" x14ac:dyDescent="0.35">
      <c r="D798" t="s">
        <v>4192</v>
      </c>
      <c r="M798" s="1" t="s">
        <v>4191</v>
      </c>
    </row>
    <row r="799" spans="2:13" x14ac:dyDescent="0.35">
      <c r="D799" t="s">
        <v>4194</v>
      </c>
      <c r="M799" s="1" t="s">
        <v>4193</v>
      </c>
    </row>
    <row r="800" spans="2:13" x14ac:dyDescent="0.35">
      <c r="D800" t="s">
        <v>4196</v>
      </c>
      <c r="M800" s="1" t="s">
        <v>4195</v>
      </c>
    </row>
    <row r="801" spans="1:24" x14ac:dyDescent="0.35">
      <c r="D801" t="s">
        <v>3490</v>
      </c>
      <c r="K801" s="170" t="s">
        <v>3668</v>
      </c>
      <c r="M801" s="1" t="s">
        <v>3491</v>
      </c>
    </row>
    <row r="802" spans="1:24" x14ac:dyDescent="0.35">
      <c r="M802" s="1"/>
    </row>
    <row r="803" spans="1:24" x14ac:dyDescent="0.35">
      <c r="B803" s="83" t="s">
        <v>4074</v>
      </c>
      <c r="M803" s="1"/>
      <c r="Q803" s="73"/>
      <c r="R803" s="1"/>
      <c r="T803" s="313"/>
      <c r="U803" s="1"/>
      <c r="W803" s="313"/>
      <c r="X803" s="1"/>
    </row>
    <row r="804" spans="1:24" x14ac:dyDescent="0.35">
      <c r="C804" s="351" t="s">
        <v>3063</v>
      </c>
      <c r="D804" s="155" t="s">
        <v>4058</v>
      </c>
      <c r="F804" s="295"/>
      <c r="G804" s="295"/>
      <c r="H804" s="295"/>
      <c r="I804" s="295"/>
      <c r="J804" s="295"/>
      <c r="K804" s="170"/>
      <c r="M804" s="1" t="s">
        <v>4059</v>
      </c>
      <c r="Q804" s="73"/>
      <c r="R804" s="1"/>
      <c r="T804" s="313"/>
      <c r="U804" s="1"/>
      <c r="W804" s="313"/>
      <c r="X804" s="1"/>
    </row>
    <row r="805" spans="1:24" x14ac:dyDescent="0.35">
      <c r="D805" s="155" t="s">
        <v>4060</v>
      </c>
      <c r="F805" s="295"/>
      <c r="G805" s="295"/>
      <c r="H805" s="295"/>
      <c r="I805" s="295"/>
      <c r="J805" s="295"/>
      <c r="K805" s="170"/>
      <c r="M805" s="1" t="s">
        <v>4061</v>
      </c>
      <c r="Q805" s="73"/>
      <c r="R805" s="1"/>
      <c r="T805" s="313"/>
      <c r="U805" s="1"/>
      <c r="W805" s="313"/>
      <c r="X805" s="1"/>
    </row>
    <row r="806" spans="1:24" x14ac:dyDescent="0.35">
      <c r="D806" s="155" t="s">
        <v>4062</v>
      </c>
      <c r="F806" s="295"/>
      <c r="G806" s="295"/>
      <c r="H806" s="295"/>
      <c r="I806" s="295"/>
      <c r="J806" s="295" t="s">
        <v>4137</v>
      </c>
      <c r="K806" s="170"/>
      <c r="M806" s="1" t="s">
        <v>4063</v>
      </c>
      <c r="Q806" s="73"/>
      <c r="R806" s="1"/>
      <c r="T806" s="313"/>
      <c r="U806" s="1"/>
      <c r="W806" s="313"/>
      <c r="X806" s="1"/>
    </row>
    <row r="807" spans="1:24" x14ac:dyDescent="0.35">
      <c r="D807" s="155" t="s">
        <v>4068</v>
      </c>
      <c r="F807" s="295"/>
      <c r="G807" s="295"/>
      <c r="H807" s="295"/>
      <c r="I807" s="295"/>
      <c r="J807" s="295"/>
      <c r="K807" s="170"/>
      <c r="M807" s="1" t="s">
        <v>4065</v>
      </c>
      <c r="Q807" s="73"/>
      <c r="R807" s="1"/>
      <c r="T807" s="313"/>
      <c r="U807" s="1"/>
      <c r="W807" s="313"/>
      <c r="X807" s="1"/>
    </row>
    <row r="808" spans="1:24" x14ac:dyDescent="0.35">
      <c r="D808" s="155" t="s">
        <v>4067</v>
      </c>
      <c r="F808" s="295"/>
      <c r="G808" s="295"/>
      <c r="H808" s="295"/>
      <c r="I808" s="295"/>
      <c r="J808" s="295"/>
      <c r="K808" s="170"/>
      <c r="M808" s="1" t="s">
        <v>4066</v>
      </c>
      <c r="Q808" s="73"/>
      <c r="R808" s="1"/>
      <c r="T808" s="313"/>
      <c r="U808" s="1"/>
      <c r="W808" s="313"/>
      <c r="X808" s="1"/>
    </row>
    <row r="809" spans="1:24" x14ac:dyDescent="0.35">
      <c r="D809" s="155" t="s">
        <v>4070</v>
      </c>
      <c r="F809" s="295"/>
      <c r="G809" s="295"/>
      <c r="H809" s="295"/>
      <c r="I809" s="295"/>
      <c r="J809" s="295"/>
      <c r="K809" s="170"/>
      <c r="M809" s="1" t="s">
        <v>4069</v>
      </c>
    </row>
    <row r="810" spans="1:24" x14ac:dyDescent="0.35">
      <c r="C810" s="351" t="s">
        <v>3063</v>
      </c>
      <c r="D810" s="155" t="s">
        <v>4072</v>
      </c>
      <c r="F810" s="295"/>
      <c r="G810" s="295"/>
      <c r="H810" s="295"/>
      <c r="I810" s="295"/>
      <c r="J810" s="295"/>
      <c r="K810" s="170"/>
      <c r="M810" s="1" t="s">
        <v>4071</v>
      </c>
    </row>
    <row r="811" spans="1:24" x14ac:dyDescent="0.35">
      <c r="D811" s="155" t="s">
        <v>4147</v>
      </c>
      <c r="M811" s="1" t="s">
        <v>4146</v>
      </c>
      <c r="Q811" t="s">
        <v>0</v>
      </c>
    </row>
    <row r="812" spans="1:24" x14ac:dyDescent="0.35">
      <c r="D812" s="155"/>
      <c r="M812" s="1"/>
    </row>
    <row r="813" spans="1:24" x14ac:dyDescent="0.35">
      <c r="B813" s="83" t="s">
        <v>4176</v>
      </c>
      <c r="D813" s="155"/>
      <c r="M813" s="1"/>
    </row>
    <row r="814" spans="1:24" x14ac:dyDescent="0.35">
      <c r="D814" s="155" t="s">
        <v>4177</v>
      </c>
      <c r="M814" s="1" t="s">
        <v>4175</v>
      </c>
    </row>
    <row r="816" spans="1:24" s="5" customFormat="1" x14ac:dyDescent="0.35">
      <c r="A816" s="86" t="s">
        <v>6500</v>
      </c>
    </row>
    <row r="817" spans="2:13" x14ac:dyDescent="0.35">
      <c r="M817" s="1"/>
    </row>
    <row r="818" spans="2:13" x14ac:dyDescent="0.35">
      <c r="B818" s="83" t="s">
        <v>3662</v>
      </c>
    </row>
    <row r="819" spans="2:13" x14ac:dyDescent="0.35">
      <c r="D819" s="398" t="s">
        <v>3664</v>
      </c>
      <c r="K819" s="170" t="s">
        <v>5761</v>
      </c>
      <c r="M819" s="1" t="s">
        <v>3665</v>
      </c>
    </row>
    <row r="820" spans="2:13" x14ac:dyDescent="0.35">
      <c r="D820" s="398" t="s">
        <v>5759</v>
      </c>
      <c r="K820" s="170" t="s">
        <v>3668</v>
      </c>
      <c r="M820" s="1" t="s">
        <v>5760</v>
      </c>
    </row>
    <row r="821" spans="2:13" x14ac:dyDescent="0.35">
      <c r="D821" t="s">
        <v>3748</v>
      </c>
      <c r="M821" s="1" t="s">
        <v>6243</v>
      </c>
    </row>
    <row r="822" spans="2:13" x14ac:dyDescent="0.35">
      <c r="D822" t="s">
        <v>3607</v>
      </c>
      <c r="M822" s="1" t="s">
        <v>3606</v>
      </c>
    </row>
    <row r="823" spans="2:13" x14ac:dyDescent="0.35">
      <c r="D823" s="398" t="s">
        <v>9428</v>
      </c>
      <c r="K823" s="170" t="s">
        <v>9429</v>
      </c>
      <c r="M823" s="1" t="s">
        <v>3638</v>
      </c>
    </row>
    <row r="824" spans="2:13" x14ac:dyDescent="0.35">
      <c r="D824" t="s">
        <v>3663</v>
      </c>
      <c r="M824" s="1" t="s">
        <v>3661</v>
      </c>
    </row>
    <row r="825" spans="2:13" x14ac:dyDescent="0.35">
      <c r="D825" t="s">
        <v>4157</v>
      </c>
      <c r="K825" s="170" t="s">
        <v>3668</v>
      </c>
      <c r="M825" s="1" t="s">
        <v>6035</v>
      </c>
    </row>
    <row r="826" spans="2:13" x14ac:dyDescent="0.35">
      <c r="D826" t="s">
        <v>3724</v>
      </c>
      <c r="K826" s="170" t="s">
        <v>3668</v>
      </c>
      <c r="M826" s="1" t="s">
        <v>3725</v>
      </c>
    </row>
    <row r="827" spans="2:13" x14ac:dyDescent="0.35">
      <c r="D827" t="s">
        <v>3728</v>
      </c>
      <c r="K827" s="170"/>
      <c r="M827" s="1" t="s">
        <v>3727</v>
      </c>
    </row>
    <row r="828" spans="2:13" x14ac:dyDescent="0.35">
      <c r="D828" t="s">
        <v>3730</v>
      </c>
      <c r="K828" s="170"/>
      <c r="M828" s="1" t="s">
        <v>3729</v>
      </c>
    </row>
    <row r="829" spans="2:13" x14ac:dyDescent="0.35">
      <c r="D829" t="s">
        <v>3854</v>
      </c>
      <c r="K829" s="170"/>
      <c r="M829" s="1" t="s">
        <v>3853</v>
      </c>
    </row>
    <row r="830" spans="2:13" x14ac:dyDescent="0.35">
      <c r="D830" t="s">
        <v>6191</v>
      </c>
      <c r="M830" s="1" t="s">
        <v>6192</v>
      </c>
    </row>
    <row r="831" spans="2:13" x14ac:dyDescent="0.35">
      <c r="D831" t="s">
        <v>6205</v>
      </c>
      <c r="M831" s="1" t="s">
        <v>6203</v>
      </c>
    </row>
    <row r="832" spans="2:13" x14ac:dyDescent="0.35">
      <c r="D832" t="s">
        <v>6207</v>
      </c>
      <c r="K832" s="170" t="s">
        <v>3668</v>
      </c>
      <c r="M832" s="1" t="s">
        <v>6206</v>
      </c>
    </row>
    <row r="833" spans="2:13" x14ac:dyDescent="0.35">
      <c r="K833" s="170"/>
      <c r="M833" s="1"/>
    </row>
    <row r="834" spans="2:13" x14ac:dyDescent="0.35">
      <c r="B834" s="83" t="s">
        <v>9423</v>
      </c>
      <c r="K834" s="170"/>
      <c r="M834" s="1"/>
    </row>
    <row r="835" spans="2:13" x14ac:dyDescent="0.35">
      <c r="D835" t="s">
        <v>9419</v>
      </c>
      <c r="M835" s="1" t="s">
        <v>9418</v>
      </c>
    </row>
    <row r="836" spans="2:13" x14ac:dyDescent="0.35">
      <c r="D836" t="s">
        <v>9421</v>
      </c>
      <c r="M836" s="1" t="s">
        <v>9420</v>
      </c>
    </row>
    <row r="837" spans="2:13" x14ac:dyDescent="0.35">
      <c r="D837" t="s">
        <v>9424</v>
      </c>
      <c r="M837" s="1" t="s">
        <v>9422</v>
      </c>
    </row>
    <row r="838" spans="2:13" x14ac:dyDescent="0.35">
      <c r="K838" s="170"/>
      <c r="M838" s="1"/>
    </row>
    <row r="839" spans="2:13" x14ac:dyDescent="0.35">
      <c r="B839" s="83" t="s">
        <v>9063</v>
      </c>
      <c r="K839" s="170"/>
      <c r="M839" s="1"/>
    </row>
    <row r="840" spans="2:13" x14ac:dyDescent="0.35">
      <c r="D840" t="s">
        <v>9060</v>
      </c>
      <c r="K840" s="170"/>
      <c r="M840" s="1" t="s">
        <v>9059</v>
      </c>
    </row>
    <row r="841" spans="2:13" x14ac:dyDescent="0.35">
      <c r="D841" t="s">
        <v>9425</v>
      </c>
      <c r="M841" s="1" t="s">
        <v>9061</v>
      </c>
    </row>
    <row r="842" spans="2:13" x14ac:dyDescent="0.35">
      <c r="D842" t="s">
        <v>9427</v>
      </c>
      <c r="M842" t="s">
        <v>9426</v>
      </c>
    </row>
    <row r="844" spans="2:13" x14ac:dyDescent="0.35">
      <c r="B844" s="83" t="s">
        <v>9064</v>
      </c>
      <c r="M844" s="1"/>
    </row>
    <row r="845" spans="2:13" x14ac:dyDescent="0.35">
      <c r="D845" t="s">
        <v>9062</v>
      </c>
      <c r="M845" s="1" t="s">
        <v>9065</v>
      </c>
    </row>
    <row r="846" spans="2:13" x14ac:dyDescent="0.35">
      <c r="M846" s="1"/>
    </row>
    <row r="847" spans="2:13" x14ac:dyDescent="0.35">
      <c r="B847" s="83" t="s">
        <v>9066</v>
      </c>
      <c r="M847" s="1"/>
    </row>
    <row r="848" spans="2:13" x14ac:dyDescent="0.35">
      <c r="D848" t="s">
        <v>6204</v>
      </c>
      <c r="M848" s="1" t="s">
        <v>6202</v>
      </c>
    </row>
    <row r="849" spans="2:13" x14ac:dyDescent="0.35">
      <c r="D849" t="s">
        <v>9069</v>
      </c>
      <c r="M849" s="1" t="s">
        <v>9068</v>
      </c>
    </row>
    <row r="850" spans="2:13" x14ac:dyDescent="0.35">
      <c r="D850" t="s">
        <v>9071</v>
      </c>
      <c r="M850" s="1" t="s">
        <v>9070</v>
      </c>
    </row>
    <row r="851" spans="2:13" x14ac:dyDescent="0.35">
      <c r="D851" t="s">
        <v>9073</v>
      </c>
      <c r="M851" s="1" t="s">
        <v>9072</v>
      </c>
    </row>
    <row r="852" spans="2:13" x14ac:dyDescent="0.35">
      <c r="D852" t="s">
        <v>9075</v>
      </c>
      <c r="M852" s="1" t="s">
        <v>9074</v>
      </c>
    </row>
    <row r="853" spans="2:13" x14ac:dyDescent="0.35">
      <c r="M853" s="1"/>
    </row>
    <row r="854" spans="2:13" x14ac:dyDescent="0.35">
      <c r="B854" s="83" t="s">
        <v>9067</v>
      </c>
      <c r="M854" s="1"/>
    </row>
    <row r="855" spans="2:13" x14ac:dyDescent="0.35">
      <c r="D855" t="s">
        <v>9090</v>
      </c>
      <c r="M855" s="1" t="s">
        <v>9076</v>
      </c>
    </row>
    <row r="856" spans="2:13" x14ac:dyDescent="0.35">
      <c r="D856" s="170" t="s">
        <v>9091</v>
      </c>
      <c r="K856" s="170" t="s">
        <v>5761</v>
      </c>
      <c r="M856" s="1" t="s">
        <v>9077</v>
      </c>
    </row>
    <row r="857" spans="2:13" x14ac:dyDescent="0.35">
      <c r="D857" s="170"/>
      <c r="K857" s="170"/>
      <c r="M857" s="1"/>
    </row>
    <row r="858" spans="2:13" x14ac:dyDescent="0.35">
      <c r="B858" s="83" t="s">
        <v>9092</v>
      </c>
      <c r="D858" s="170"/>
      <c r="K858" s="170"/>
      <c r="M858" s="1"/>
    </row>
    <row r="859" spans="2:13" x14ac:dyDescent="0.35">
      <c r="D859" s="547" t="s">
        <v>9093</v>
      </c>
      <c r="E859" s="173"/>
      <c r="F859" s="173"/>
      <c r="G859" s="173"/>
      <c r="H859" s="173"/>
      <c r="K859" s="170"/>
      <c r="M859" s="1"/>
    </row>
    <row r="860" spans="2:13" x14ac:dyDescent="0.35">
      <c r="D860" s="170"/>
      <c r="K860" s="170"/>
      <c r="M860" s="1"/>
    </row>
    <row r="861" spans="2:13" x14ac:dyDescent="0.35">
      <c r="B861" s="83" t="s">
        <v>9086</v>
      </c>
      <c r="D861" s="170"/>
      <c r="K861" s="170"/>
      <c r="M861" s="1"/>
    </row>
    <row r="862" spans="2:13" x14ac:dyDescent="0.35">
      <c r="D862" t="s">
        <v>9089</v>
      </c>
      <c r="M862" s="1" t="s">
        <v>9085</v>
      </c>
    </row>
    <row r="863" spans="2:13" x14ac:dyDescent="0.35">
      <c r="D863" s="95" t="s">
        <v>9088</v>
      </c>
      <c r="M863" s="1" t="s">
        <v>9087</v>
      </c>
    </row>
    <row r="864" spans="2:13" x14ac:dyDescent="0.35">
      <c r="D864" s="95"/>
      <c r="M864" s="1"/>
    </row>
    <row r="865" spans="2:13" x14ac:dyDescent="0.35">
      <c r="B865" s="83" t="s">
        <v>6198</v>
      </c>
      <c r="D865" t="s">
        <v>6194</v>
      </c>
      <c r="M865" s="1" t="s">
        <v>6195</v>
      </c>
    </row>
    <row r="866" spans="2:13" x14ac:dyDescent="0.35">
      <c r="D866" t="s">
        <v>6196</v>
      </c>
      <c r="M866" s="1" t="s">
        <v>5864</v>
      </c>
    </row>
    <row r="867" spans="2:13" x14ac:dyDescent="0.35">
      <c r="D867" t="s">
        <v>6200</v>
      </c>
      <c r="M867" s="1" t="s">
        <v>6199</v>
      </c>
    </row>
    <row r="868" spans="2:13" x14ac:dyDescent="0.35">
      <c r="D868" t="s">
        <v>6201</v>
      </c>
      <c r="M868" s="1" t="s">
        <v>5835</v>
      </c>
    </row>
    <row r="869" spans="2:13" x14ac:dyDescent="0.35">
      <c r="M869" s="1"/>
    </row>
    <row r="870" spans="2:13" x14ac:dyDescent="0.35">
      <c r="B870" s="83" t="s">
        <v>6197</v>
      </c>
      <c r="D870" t="s">
        <v>3671</v>
      </c>
      <c r="M870" s="1" t="s">
        <v>3666</v>
      </c>
    </row>
    <row r="871" spans="2:13" x14ac:dyDescent="0.35">
      <c r="D871" t="s">
        <v>3674</v>
      </c>
      <c r="K871" s="170" t="s">
        <v>3668</v>
      </c>
      <c r="M871" s="1" t="s">
        <v>3667</v>
      </c>
    </row>
    <row r="872" spans="2:13" x14ac:dyDescent="0.35">
      <c r="D872" t="s">
        <v>3673</v>
      </c>
      <c r="K872" s="170" t="s">
        <v>3668</v>
      </c>
      <c r="M872" s="1" t="s">
        <v>3669</v>
      </c>
    </row>
    <row r="873" spans="2:13" x14ac:dyDescent="0.35">
      <c r="D873" t="s">
        <v>3672</v>
      </c>
      <c r="M873" s="1" t="s">
        <v>3670</v>
      </c>
    </row>
    <row r="875" spans="2:13" x14ac:dyDescent="0.35">
      <c r="B875" s="83" t="s">
        <v>6185</v>
      </c>
      <c r="D875" t="s">
        <v>3719</v>
      </c>
      <c r="M875" s="1" t="s">
        <v>3718</v>
      </c>
    </row>
    <row r="876" spans="2:13" x14ac:dyDescent="0.35">
      <c r="D876" t="s">
        <v>6190</v>
      </c>
      <c r="K876" s="170"/>
      <c r="M876" s="1" t="s">
        <v>6189</v>
      </c>
    </row>
    <row r="877" spans="2:13" x14ac:dyDescent="0.35">
      <c r="D877" t="s">
        <v>6239</v>
      </c>
      <c r="K877" s="170"/>
      <c r="M877" s="1" t="s">
        <v>3718</v>
      </c>
    </row>
    <row r="878" spans="2:13" x14ac:dyDescent="0.35">
      <c r="K878" s="170"/>
      <c r="M878" s="1"/>
    </row>
    <row r="879" spans="2:13" x14ac:dyDescent="0.35">
      <c r="B879" s="83" t="s">
        <v>3893</v>
      </c>
      <c r="D879" t="s">
        <v>6240</v>
      </c>
    </row>
    <row r="880" spans="2:13" x14ac:dyDescent="0.35">
      <c r="K880" s="170"/>
      <c r="M880" s="1"/>
    </row>
    <row r="881" spans="2:18" x14ac:dyDescent="0.35">
      <c r="B881" s="83" t="s">
        <v>6193</v>
      </c>
      <c r="K881" s="170"/>
      <c r="M881" s="1"/>
    </row>
    <row r="882" spans="2:18" x14ac:dyDescent="0.35">
      <c r="D882" t="s">
        <v>6184</v>
      </c>
      <c r="K882" s="170"/>
      <c r="M882" s="1" t="s">
        <v>6183</v>
      </c>
    </row>
    <row r="884" spans="2:18" x14ac:dyDescent="0.35">
      <c r="B884" s="83" t="s">
        <v>6187</v>
      </c>
      <c r="M884" s="1"/>
    </row>
    <row r="885" spans="2:18" x14ac:dyDescent="0.35">
      <c r="D885" t="s">
        <v>3702</v>
      </c>
      <c r="M885" s="1" t="s">
        <v>3696</v>
      </c>
    </row>
    <row r="886" spans="2:18" x14ac:dyDescent="0.35">
      <c r="D886" t="s">
        <v>3723</v>
      </c>
      <c r="K886" s="398" t="s">
        <v>3747</v>
      </c>
      <c r="M886" s="1" t="s">
        <v>3703</v>
      </c>
    </row>
    <row r="887" spans="2:18" x14ac:dyDescent="0.35">
      <c r="E887" t="s">
        <v>3711</v>
      </c>
      <c r="M887" s="1" t="s">
        <v>3704</v>
      </c>
    </row>
    <row r="888" spans="2:18" x14ac:dyDescent="0.35">
      <c r="E888" t="s">
        <v>3721</v>
      </c>
      <c r="M888" s="1"/>
    </row>
    <row r="889" spans="2:18" x14ac:dyDescent="0.35">
      <c r="E889" t="s">
        <v>3722</v>
      </c>
      <c r="M889" s="1" t="s">
        <v>3720</v>
      </c>
    </row>
    <row r="890" spans="2:18" x14ac:dyDescent="0.35">
      <c r="D890" t="s">
        <v>3726</v>
      </c>
      <c r="M890" s="1"/>
    </row>
    <row r="891" spans="2:18" x14ac:dyDescent="0.35">
      <c r="M891" s="1"/>
    </row>
    <row r="892" spans="2:18" x14ac:dyDescent="0.35">
      <c r="B892" s="83" t="s">
        <v>6188</v>
      </c>
      <c r="M892" s="1"/>
    </row>
    <row r="893" spans="2:18" x14ac:dyDescent="0.35">
      <c r="D893" t="s">
        <v>3740</v>
      </c>
      <c r="M893" s="1" t="s">
        <v>3743</v>
      </c>
      <c r="O893" t="s">
        <v>0</v>
      </c>
      <c r="Q893" s="73" t="s">
        <v>3741</v>
      </c>
      <c r="R893" s="1" t="s">
        <v>3742</v>
      </c>
    </row>
    <row r="894" spans="2:18" x14ac:dyDescent="0.35">
      <c r="E894" t="s">
        <v>3745</v>
      </c>
      <c r="K894" s="170" t="s">
        <v>3668</v>
      </c>
      <c r="M894" s="1" t="s">
        <v>3744</v>
      </c>
      <c r="O894" t="s">
        <v>0</v>
      </c>
    </row>
    <row r="895" spans="2:18" x14ac:dyDescent="0.35">
      <c r="K895" s="170"/>
      <c r="M895" s="1"/>
    </row>
    <row r="896" spans="2:18" x14ac:dyDescent="0.35">
      <c r="B896" s="83" t="s">
        <v>3952</v>
      </c>
      <c r="K896" s="170"/>
      <c r="M896" s="1"/>
    </row>
    <row r="897" spans="1:25" x14ac:dyDescent="0.35">
      <c r="D897" t="s">
        <v>3954</v>
      </c>
      <c r="K897" s="170"/>
      <c r="M897" s="1" t="s">
        <v>3953</v>
      </c>
    </row>
    <row r="898" spans="1:25" x14ac:dyDescent="0.35">
      <c r="K898" s="170"/>
      <c r="M898" s="1"/>
    </row>
    <row r="900" spans="1:25" s="5" customFormat="1" x14ac:dyDescent="0.35">
      <c r="A900" s="86" t="s">
        <v>3927</v>
      </c>
    </row>
    <row r="901" spans="1:25" x14ac:dyDescent="0.35">
      <c r="K901" s="170"/>
      <c r="M901" s="1"/>
    </row>
    <row r="902" spans="1:25" x14ac:dyDescent="0.35">
      <c r="B902" s="83" t="s">
        <v>3928</v>
      </c>
      <c r="D902" s="295" t="s">
        <v>3869</v>
      </c>
      <c r="E902" s="295"/>
      <c r="F902" s="295"/>
      <c r="G902" s="295"/>
      <c r="H902" s="295"/>
      <c r="I902" s="295"/>
      <c r="J902" s="295" t="s">
        <v>3868</v>
      </c>
      <c r="K902" s="170"/>
      <c r="M902" s="1" t="s">
        <v>3846</v>
      </c>
      <c r="O902" t="s">
        <v>0</v>
      </c>
      <c r="Q902" s="73" t="s">
        <v>3850</v>
      </c>
      <c r="R902" s="1" t="s">
        <v>3847</v>
      </c>
      <c r="S902" t="s">
        <v>0</v>
      </c>
      <c r="T902" s="313" t="s">
        <v>3849</v>
      </c>
      <c r="U902" s="1" t="s">
        <v>3848</v>
      </c>
      <c r="V902" t="s">
        <v>0</v>
      </c>
      <c r="W902" s="313" t="s">
        <v>3852</v>
      </c>
      <c r="X902" s="1" t="s">
        <v>3851</v>
      </c>
      <c r="Y902" t="s">
        <v>0</v>
      </c>
    </row>
    <row r="903" spans="1:25" x14ac:dyDescent="0.35">
      <c r="D903" s="295" t="s">
        <v>4018</v>
      </c>
      <c r="E903" s="295"/>
      <c r="F903" s="295"/>
      <c r="G903" s="295"/>
      <c r="H903" s="295"/>
      <c r="I903" s="295"/>
      <c r="J903" s="295"/>
      <c r="K903" s="170"/>
      <c r="M903" s="1" t="s">
        <v>4017</v>
      </c>
      <c r="O903" t="s">
        <v>0</v>
      </c>
      <c r="Q903" s="73"/>
      <c r="R903" s="1"/>
      <c r="T903" s="313"/>
      <c r="U903" s="1"/>
      <c r="W903" s="313"/>
      <c r="X903" s="1"/>
    </row>
    <row r="904" spans="1:25" x14ac:dyDescent="0.35">
      <c r="D904" s="295"/>
      <c r="E904" s="295"/>
      <c r="F904" s="295"/>
      <c r="G904" s="295"/>
      <c r="H904" s="295"/>
      <c r="I904" s="295"/>
      <c r="J904" s="295"/>
      <c r="K904" s="170"/>
      <c r="M904" s="1"/>
      <c r="Q904" s="73"/>
      <c r="R904" s="1"/>
      <c r="T904" s="313"/>
      <c r="U904" s="1"/>
      <c r="W904" s="313"/>
      <c r="X904" s="1"/>
    </row>
    <row r="905" spans="1:25" x14ac:dyDescent="0.35">
      <c r="B905" s="83" t="s">
        <v>3929</v>
      </c>
      <c r="D905" s="295" t="s">
        <v>3871</v>
      </c>
      <c r="E905" s="295"/>
      <c r="F905" s="295"/>
      <c r="G905" s="295"/>
      <c r="H905" s="295"/>
      <c r="I905" s="295"/>
      <c r="J905" s="295" t="s">
        <v>3872</v>
      </c>
      <c r="M905" s="1" t="s">
        <v>3859</v>
      </c>
      <c r="O905" t="s">
        <v>0</v>
      </c>
      <c r="Q905" s="73" t="s">
        <v>3850</v>
      </c>
      <c r="R905" s="1" t="s">
        <v>3862</v>
      </c>
      <c r="S905" t="s">
        <v>0</v>
      </c>
      <c r="T905" s="313" t="s">
        <v>3849</v>
      </c>
      <c r="U905" s="1" t="s">
        <v>3861</v>
      </c>
      <c r="V905" t="s">
        <v>0</v>
      </c>
      <c r="W905" t="s">
        <v>0</v>
      </c>
    </row>
    <row r="906" spans="1:25" x14ac:dyDescent="0.35">
      <c r="D906" s="295" t="s">
        <v>3866</v>
      </c>
      <c r="E906" s="295"/>
      <c r="F906" s="295"/>
      <c r="G906" s="295"/>
      <c r="H906" s="295"/>
      <c r="J906" s="295" t="s">
        <v>3865</v>
      </c>
      <c r="M906" s="1" t="s">
        <v>3860</v>
      </c>
      <c r="O906" t="s">
        <v>0</v>
      </c>
      <c r="Q906" s="73" t="s">
        <v>3850</v>
      </c>
      <c r="R906" s="1" t="s">
        <v>3870</v>
      </c>
      <c r="S906" t="s">
        <v>0</v>
      </c>
      <c r="T906" s="313" t="s">
        <v>3849</v>
      </c>
      <c r="U906" s="1" t="s">
        <v>3863</v>
      </c>
      <c r="V906" t="s">
        <v>0</v>
      </c>
      <c r="W906" s="313" t="s">
        <v>3867</v>
      </c>
      <c r="X906" s="1" t="s">
        <v>3864</v>
      </c>
    </row>
    <row r="907" spans="1:25" x14ac:dyDescent="0.35">
      <c r="D907" s="295"/>
      <c r="E907" s="295"/>
      <c r="F907" s="295"/>
      <c r="G907" s="295"/>
      <c r="H907" s="295"/>
      <c r="J907" s="295"/>
      <c r="M907" s="1"/>
      <c r="Q907" s="73"/>
      <c r="R907" s="1"/>
      <c r="T907" s="313"/>
      <c r="U907" s="1"/>
      <c r="W907" s="313"/>
      <c r="X907" s="1"/>
    </row>
    <row r="908" spans="1:25" s="5" customFormat="1" x14ac:dyDescent="0.35">
      <c r="A908" s="86" t="s">
        <v>7151</v>
      </c>
    </row>
    <row r="909" spans="1:25" x14ac:dyDescent="0.35">
      <c r="D909" s="155"/>
      <c r="E909" s="295"/>
      <c r="F909" s="295"/>
      <c r="G909" s="295"/>
      <c r="H909" s="295"/>
      <c r="J909" s="295"/>
      <c r="M909" s="1"/>
      <c r="Q909" s="73"/>
      <c r="R909" s="1"/>
      <c r="T909" s="313"/>
      <c r="U909" s="1"/>
      <c r="W909" s="313"/>
      <c r="X909" s="1"/>
    </row>
    <row r="910" spans="1:25" x14ac:dyDescent="0.35">
      <c r="B910" s="83" t="s">
        <v>3361</v>
      </c>
      <c r="D910" s="155" t="s">
        <v>5860</v>
      </c>
      <c r="E910" s="295"/>
      <c r="F910" s="295"/>
      <c r="G910" s="295"/>
      <c r="H910" s="295"/>
      <c r="J910" s="295"/>
      <c r="M910" s="1" t="s">
        <v>5859</v>
      </c>
      <c r="Q910" s="73"/>
      <c r="R910" s="1"/>
      <c r="T910" s="313"/>
      <c r="U910" s="1"/>
      <c r="W910" s="313"/>
      <c r="X910" s="1"/>
    </row>
    <row r="911" spans="1:25" x14ac:dyDescent="0.35">
      <c r="D911" s="155" t="s">
        <v>5861</v>
      </c>
      <c r="E911" s="295"/>
      <c r="F911" s="295"/>
      <c r="G911" s="295"/>
      <c r="H911" s="295"/>
      <c r="J911" s="295"/>
      <c r="M911" s="1"/>
      <c r="Q911" s="73"/>
      <c r="R911" s="1"/>
      <c r="T911" s="313"/>
      <c r="U911" s="1"/>
      <c r="W911" s="313"/>
      <c r="X911" s="1"/>
    </row>
    <row r="912" spans="1:25" x14ac:dyDescent="0.35">
      <c r="D912" s="155"/>
      <c r="E912" s="295"/>
      <c r="F912" s="295"/>
      <c r="G912" s="295"/>
      <c r="H912" s="295"/>
      <c r="J912" s="295"/>
      <c r="M912" s="1"/>
      <c r="Q912" s="73"/>
      <c r="R912" s="1"/>
      <c r="T912" s="313"/>
      <c r="U912" s="1"/>
      <c r="W912" s="313"/>
      <c r="X912" s="1"/>
    </row>
    <row r="913" spans="2:24" x14ac:dyDescent="0.35">
      <c r="B913" s="83" t="s">
        <v>5862</v>
      </c>
      <c r="D913" s="155" t="s">
        <v>5863</v>
      </c>
      <c r="E913" s="295"/>
      <c r="F913" s="295"/>
      <c r="G913" s="295"/>
      <c r="H913" s="295"/>
      <c r="J913" s="295"/>
      <c r="M913" s="1" t="s">
        <v>5864</v>
      </c>
      <c r="Q913" s="73"/>
      <c r="R913" s="1"/>
      <c r="T913" s="313"/>
      <c r="U913" s="1"/>
      <c r="W913" s="313"/>
      <c r="X913" s="1"/>
    </row>
    <row r="914" spans="2:24" x14ac:dyDescent="0.35">
      <c r="E914" s="295"/>
      <c r="F914" s="295"/>
      <c r="G914" s="295"/>
      <c r="H914" s="295"/>
      <c r="J914" s="295"/>
      <c r="M914" s="1"/>
      <c r="Q914" s="73"/>
      <c r="R914" s="1"/>
      <c r="T914" s="313"/>
      <c r="U914" s="1"/>
      <c r="W914" s="313"/>
      <c r="X914" s="1"/>
    </row>
    <row r="915" spans="2:24" x14ac:dyDescent="0.35">
      <c r="B915" s="83" t="s">
        <v>3386</v>
      </c>
      <c r="D915" s="155" t="s">
        <v>5866</v>
      </c>
      <c r="E915" s="295"/>
      <c r="F915" s="295"/>
      <c r="G915" s="295"/>
      <c r="H915" s="295"/>
      <c r="J915" s="295"/>
      <c r="M915" s="1" t="s">
        <v>5865</v>
      </c>
      <c r="Q915" s="73"/>
      <c r="R915" s="1"/>
      <c r="T915" s="313"/>
      <c r="U915" s="1"/>
      <c r="W915" s="313"/>
      <c r="X915" s="1"/>
    </row>
    <row r="916" spans="2:24" x14ac:dyDescent="0.35">
      <c r="D916" s="155" t="s">
        <v>6200</v>
      </c>
      <c r="E916" s="295"/>
      <c r="F916" s="295"/>
      <c r="G916" s="295"/>
      <c r="H916" s="295"/>
      <c r="J916" s="295"/>
      <c r="M916" s="1" t="s">
        <v>6199</v>
      </c>
      <c r="Q916" s="73"/>
      <c r="R916" s="1"/>
      <c r="T916" s="313"/>
      <c r="U916" s="1"/>
      <c r="W916" s="313"/>
      <c r="X916" s="1"/>
    </row>
    <row r="917" spans="2:24" x14ac:dyDescent="0.35">
      <c r="D917" s="155"/>
      <c r="E917" s="295"/>
      <c r="F917" s="295"/>
      <c r="G917" s="295"/>
      <c r="H917" s="295"/>
      <c r="J917" s="295"/>
      <c r="M917" s="1"/>
      <c r="Q917" s="73"/>
      <c r="R917" s="1"/>
      <c r="T917" s="313"/>
      <c r="U917" s="1"/>
      <c r="W917" s="313"/>
      <c r="X917" s="1"/>
    </row>
    <row r="918" spans="2:24" x14ac:dyDescent="0.35">
      <c r="B918" s="83" t="s">
        <v>7124</v>
      </c>
      <c r="D918" s="155" t="s">
        <v>7132</v>
      </c>
      <c r="E918" s="295"/>
      <c r="F918" s="295"/>
      <c r="G918" s="295"/>
      <c r="H918" s="295"/>
      <c r="J918" s="295"/>
      <c r="M918" s="1" t="s">
        <v>7131</v>
      </c>
      <c r="Q918" s="73"/>
      <c r="R918" s="1"/>
      <c r="T918" s="313"/>
      <c r="U918" s="1"/>
      <c r="W918" s="313"/>
      <c r="X918" s="1"/>
    </row>
    <row r="919" spans="2:24" x14ac:dyDescent="0.35">
      <c r="D919" s="155"/>
      <c r="E919" s="295"/>
      <c r="F919" s="295"/>
      <c r="G919" s="295"/>
      <c r="H919" s="295"/>
      <c r="J919" s="295"/>
      <c r="M919" s="1"/>
      <c r="Q919" s="73"/>
      <c r="R919" s="1"/>
      <c r="T919" s="313"/>
      <c r="U919" s="1"/>
      <c r="W919" s="313"/>
      <c r="X919" s="1"/>
    </row>
    <row r="920" spans="2:24" x14ac:dyDescent="0.35">
      <c r="B920" s="83" t="s">
        <v>7150</v>
      </c>
      <c r="D920" s="155" t="s">
        <v>7132</v>
      </c>
      <c r="E920" s="295"/>
      <c r="F920" s="295"/>
      <c r="G920" s="295"/>
      <c r="H920" s="295"/>
      <c r="J920" s="295"/>
      <c r="M920" s="1" t="s">
        <v>7149</v>
      </c>
      <c r="Q920" s="73"/>
      <c r="R920" s="1"/>
      <c r="T920" s="313"/>
      <c r="U920" s="1"/>
      <c r="W920" s="313"/>
      <c r="X920" s="1"/>
    </row>
    <row r="921" spans="2:24" x14ac:dyDescent="0.35">
      <c r="D921" s="155"/>
      <c r="E921" s="295"/>
      <c r="F921" s="295"/>
      <c r="G921" s="295"/>
      <c r="H921" s="295"/>
      <c r="J921" s="295"/>
      <c r="M921" s="1"/>
      <c r="Q921" s="73"/>
      <c r="R921" s="1"/>
      <c r="T921" s="313"/>
      <c r="U921" s="1"/>
      <c r="W921" s="313"/>
      <c r="X921" s="1"/>
    </row>
    <row r="922" spans="2:24" x14ac:dyDescent="0.35">
      <c r="B922" s="83" t="s">
        <v>6768</v>
      </c>
      <c r="D922" s="155" t="s">
        <v>6765</v>
      </c>
      <c r="E922" s="295"/>
      <c r="F922" s="295"/>
      <c r="G922" s="295"/>
      <c r="H922" s="295"/>
      <c r="J922" s="295"/>
      <c r="M922" s="1" t="s">
        <v>6764</v>
      </c>
      <c r="Q922" s="73"/>
      <c r="R922" s="1"/>
      <c r="T922" s="313"/>
      <c r="U922" s="1"/>
      <c r="W922" s="313"/>
      <c r="X922" s="1"/>
    </row>
    <row r="923" spans="2:24" x14ac:dyDescent="0.35">
      <c r="D923" s="155" t="s">
        <v>6770</v>
      </c>
      <c r="E923" s="295"/>
      <c r="F923" s="295"/>
      <c r="H923" s="295"/>
      <c r="J923" s="300" t="s">
        <v>6783</v>
      </c>
      <c r="M923" s="1" t="s">
        <v>6769</v>
      </c>
      <c r="Q923" s="73"/>
      <c r="R923" s="1"/>
      <c r="T923" s="313"/>
      <c r="U923" s="1"/>
      <c r="W923" s="313"/>
      <c r="X923" s="1"/>
    </row>
    <row r="924" spans="2:24" x14ac:dyDescent="0.35">
      <c r="D924" s="155" t="s">
        <v>6776</v>
      </c>
      <c r="E924" s="295"/>
      <c r="F924" s="295"/>
      <c r="G924" s="295"/>
      <c r="H924" s="295"/>
      <c r="K924" s="295"/>
      <c r="M924" s="1" t="s">
        <v>6774</v>
      </c>
      <c r="Q924" s="73"/>
      <c r="R924" s="1"/>
      <c r="T924" s="313"/>
      <c r="U924" s="1"/>
      <c r="W924" s="313"/>
      <c r="X924" s="1"/>
    </row>
    <row r="925" spans="2:24" x14ac:dyDescent="0.35">
      <c r="D925" s="155" t="s">
        <v>6786</v>
      </c>
      <c r="E925" s="295"/>
      <c r="F925" s="295"/>
      <c r="G925" s="295"/>
      <c r="H925" s="295"/>
      <c r="K925" t="s">
        <v>6787</v>
      </c>
      <c r="M925" s="1" t="s">
        <v>6784</v>
      </c>
      <c r="Q925" s="73"/>
      <c r="R925" s="1"/>
      <c r="T925" s="313"/>
      <c r="U925" s="1"/>
      <c r="W925" s="313"/>
      <c r="X925" s="1"/>
    </row>
    <row r="926" spans="2:24" x14ac:dyDescent="0.35">
      <c r="D926" s="155" t="s">
        <v>6789</v>
      </c>
      <c r="E926" s="295"/>
      <c r="F926" s="295"/>
      <c r="G926" s="295"/>
      <c r="H926" s="295"/>
      <c r="J926" s="300" t="s">
        <v>6783</v>
      </c>
      <c r="K926" t="s">
        <v>6788</v>
      </c>
      <c r="M926" s="1" t="s">
        <v>6785</v>
      </c>
      <c r="Q926" s="73"/>
      <c r="R926" s="1"/>
      <c r="T926" s="313"/>
      <c r="U926" s="1"/>
      <c r="W926" s="313"/>
      <c r="X926" s="1"/>
    </row>
    <row r="927" spans="2:24" x14ac:dyDescent="0.35">
      <c r="D927" s="155"/>
      <c r="E927" s="295"/>
      <c r="F927" s="295"/>
      <c r="G927" s="295"/>
      <c r="H927" s="295"/>
      <c r="J927" s="295"/>
      <c r="M927" s="1"/>
      <c r="Q927" s="73"/>
      <c r="R927" s="1"/>
      <c r="T927" s="313"/>
      <c r="U927" s="1"/>
      <c r="W927" s="313"/>
      <c r="X927" s="1"/>
    </row>
    <row r="928" spans="2:24" x14ac:dyDescent="0.35">
      <c r="B928" s="83" t="s">
        <v>6775</v>
      </c>
      <c r="E928" s="295"/>
      <c r="F928" s="295"/>
      <c r="G928" s="295"/>
      <c r="H928" s="295"/>
      <c r="J928" s="295"/>
      <c r="Q928" s="73"/>
      <c r="R928" s="1"/>
      <c r="T928" s="313"/>
      <c r="U928" s="1"/>
      <c r="W928" s="313"/>
      <c r="X928" s="1"/>
    </row>
    <row r="929" spans="1:24" x14ac:dyDescent="0.35">
      <c r="D929" s="155" t="s">
        <v>6767</v>
      </c>
      <c r="E929" s="295"/>
      <c r="F929" s="295"/>
      <c r="G929" s="295"/>
      <c r="H929" s="295"/>
      <c r="J929" s="295"/>
      <c r="M929" s="1" t="s">
        <v>6766</v>
      </c>
      <c r="Q929" s="73"/>
      <c r="R929" s="1"/>
      <c r="T929" s="313"/>
      <c r="U929" s="1"/>
      <c r="W929" s="313"/>
      <c r="X929" s="1"/>
    </row>
    <row r="930" spans="1:24" x14ac:dyDescent="0.35">
      <c r="D930" s="155" t="s">
        <v>4301</v>
      </c>
      <c r="E930" s="295"/>
      <c r="F930" s="295"/>
      <c r="G930" s="295"/>
      <c r="H930" s="295"/>
      <c r="J930" s="295"/>
      <c r="M930" s="1" t="s">
        <v>4302</v>
      </c>
      <c r="Q930" s="73"/>
      <c r="R930" s="1"/>
      <c r="T930" s="313"/>
      <c r="U930" s="1"/>
      <c r="W930" s="313"/>
      <c r="X930" s="1"/>
    </row>
    <row r="931" spans="1:24" x14ac:dyDescent="0.35">
      <c r="E931" s="295"/>
      <c r="F931" s="295"/>
      <c r="G931" s="295"/>
      <c r="H931" s="295"/>
      <c r="J931" s="295"/>
      <c r="M931" s="1"/>
      <c r="Q931" s="73"/>
      <c r="R931" s="1"/>
      <c r="T931" s="313"/>
      <c r="U931" s="1"/>
      <c r="W931" s="313"/>
      <c r="X931" s="1"/>
    </row>
    <row r="932" spans="1:24" s="5" customFormat="1" x14ac:dyDescent="0.35">
      <c r="A932" s="86" t="s">
        <v>4149</v>
      </c>
    </row>
    <row r="933" spans="1:24" x14ac:dyDescent="0.35">
      <c r="D933" s="295"/>
      <c r="E933" s="295"/>
      <c r="F933" s="295"/>
      <c r="G933" s="295"/>
      <c r="H933" s="295"/>
      <c r="J933" s="295"/>
      <c r="M933" s="1"/>
      <c r="Q933" s="73"/>
      <c r="R933" s="1"/>
      <c r="T933" s="313"/>
      <c r="U933" s="1"/>
      <c r="W933" s="313"/>
      <c r="X933" s="1"/>
    </row>
    <row r="934" spans="1:24" x14ac:dyDescent="0.35">
      <c r="B934" s="83" t="s">
        <v>1909</v>
      </c>
      <c r="D934" t="s">
        <v>3879</v>
      </c>
      <c r="M934" s="1" t="s">
        <v>3697</v>
      </c>
    </row>
    <row r="935" spans="1:24" x14ac:dyDescent="0.35">
      <c r="D935" t="s">
        <v>3873</v>
      </c>
      <c r="M935" s="1" t="s">
        <v>3874</v>
      </c>
    </row>
    <row r="937" spans="1:24" x14ac:dyDescent="0.35">
      <c r="D937" t="s">
        <v>3875</v>
      </c>
      <c r="M937" s="1" t="s">
        <v>3876</v>
      </c>
      <c r="Q937" t="s">
        <v>0</v>
      </c>
      <c r="R937" s="3" t="s">
        <v>3877</v>
      </c>
      <c r="T937" s="1" t="s">
        <v>3692</v>
      </c>
    </row>
    <row r="938" spans="1:24" x14ac:dyDescent="0.35">
      <c r="D938" t="s">
        <v>3878</v>
      </c>
      <c r="M938" s="1"/>
      <c r="R938" s="3"/>
      <c r="T938" s="1"/>
    </row>
    <row r="939" spans="1:24" x14ac:dyDescent="0.35">
      <c r="M939" s="1"/>
      <c r="R939" s="3"/>
      <c r="T939" s="1"/>
    </row>
    <row r="940" spans="1:24" x14ac:dyDescent="0.35">
      <c r="D940" t="s">
        <v>3880</v>
      </c>
      <c r="M940" s="1" t="s">
        <v>3695</v>
      </c>
      <c r="Q940" t="s">
        <v>0</v>
      </c>
      <c r="R940" s="3" t="s">
        <v>3877</v>
      </c>
      <c r="T940" s="1" t="s">
        <v>3881</v>
      </c>
    </row>
    <row r="941" spans="1:24" x14ac:dyDescent="0.35">
      <c r="M941" s="1"/>
      <c r="R941" s="3"/>
      <c r="T941" s="1"/>
    </row>
    <row r="942" spans="1:24" x14ac:dyDescent="0.35">
      <c r="D942" t="s">
        <v>3885</v>
      </c>
      <c r="M942" s="1" t="s">
        <v>3886</v>
      </c>
      <c r="R942" s="3"/>
      <c r="T942" s="1"/>
    </row>
    <row r="943" spans="1:24" x14ac:dyDescent="0.35">
      <c r="D943" s="410" t="s">
        <v>3884</v>
      </c>
      <c r="F943" t="s">
        <v>3887</v>
      </c>
      <c r="R943" s="3"/>
      <c r="T943" s="1"/>
    </row>
    <row r="944" spans="1:24" x14ac:dyDescent="0.35">
      <c r="D944" s="410" t="s">
        <v>3883</v>
      </c>
      <c r="F944" t="s">
        <v>3882</v>
      </c>
      <c r="M944" s="1"/>
      <c r="R944" s="3"/>
      <c r="T944" s="1"/>
    </row>
    <row r="945" spans="1:24" x14ac:dyDescent="0.35">
      <c r="M945" s="1"/>
      <c r="R945" s="3"/>
      <c r="T945" s="1"/>
    </row>
    <row r="946" spans="1:24" x14ac:dyDescent="0.35">
      <c r="D946" t="s">
        <v>3700</v>
      </c>
      <c r="M946" s="1" t="s">
        <v>3701</v>
      </c>
    </row>
    <row r="947" spans="1:24" x14ac:dyDescent="0.35">
      <c r="D947" t="s">
        <v>3698</v>
      </c>
      <c r="M947" s="1" t="s">
        <v>3699</v>
      </c>
    </row>
    <row r="948" spans="1:24" x14ac:dyDescent="0.35">
      <c r="M948" s="1"/>
    </row>
    <row r="949" spans="1:24" x14ac:dyDescent="0.35">
      <c r="B949" s="83" t="s">
        <v>4150</v>
      </c>
      <c r="D949" t="s">
        <v>3712</v>
      </c>
      <c r="M949" s="295" t="s">
        <v>3713</v>
      </c>
    </row>
    <row r="950" spans="1:24" x14ac:dyDescent="0.35">
      <c r="M950" s="295"/>
    </row>
    <row r="951" spans="1:24" x14ac:dyDescent="0.35">
      <c r="B951" s="83" t="s">
        <v>3617</v>
      </c>
      <c r="D951" t="s">
        <v>3717</v>
      </c>
      <c r="M951" s="295" t="s">
        <v>3713</v>
      </c>
    </row>
    <row r="952" spans="1:24" x14ac:dyDescent="0.35">
      <c r="J952" s="295"/>
      <c r="M952" s="1"/>
    </row>
    <row r="953" spans="1:24" x14ac:dyDescent="0.35">
      <c r="B953" s="83" t="s">
        <v>4151</v>
      </c>
      <c r="D953" t="s">
        <v>3691</v>
      </c>
      <c r="M953" s="1" t="s">
        <v>3690</v>
      </c>
    </row>
    <row r="954" spans="1:24" x14ac:dyDescent="0.35">
      <c r="D954" t="s">
        <v>3694</v>
      </c>
      <c r="M954" s="1" t="s">
        <v>3693</v>
      </c>
    </row>
    <row r="955" spans="1:24" x14ac:dyDescent="0.35">
      <c r="M955" s="1"/>
    </row>
    <row r="956" spans="1:24" s="5" customFormat="1" x14ac:dyDescent="0.35">
      <c r="A956" s="86" t="s">
        <v>3924</v>
      </c>
    </row>
    <row r="957" spans="1:24" x14ac:dyDescent="0.35">
      <c r="D957" s="295"/>
      <c r="E957" s="295"/>
      <c r="F957" s="295"/>
      <c r="G957" s="295"/>
      <c r="H957" s="295"/>
      <c r="J957" s="295"/>
      <c r="M957" s="1"/>
      <c r="Q957" s="73"/>
      <c r="R957" s="1"/>
      <c r="T957" s="313"/>
      <c r="U957" s="1"/>
      <c r="W957" s="313"/>
      <c r="X957" s="1"/>
    </row>
    <row r="958" spans="1:24" x14ac:dyDescent="0.35">
      <c r="B958" s="83" t="s">
        <v>712</v>
      </c>
      <c r="D958" t="s">
        <v>3925</v>
      </c>
      <c r="J958" s="295"/>
      <c r="M958" s="1" t="s">
        <v>3767</v>
      </c>
    </row>
    <row r="959" spans="1:24" x14ac:dyDescent="0.35">
      <c r="B959" s="152"/>
      <c r="D959" t="s">
        <v>3771</v>
      </c>
      <c r="M959" s="1" t="s">
        <v>3768</v>
      </c>
    </row>
    <row r="960" spans="1:24" x14ac:dyDescent="0.35">
      <c r="B960" s="152"/>
      <c r="D960" t="s">
        <v>3770</v>
      </c>
      <c r="M960" s="1" t="s">
        <v>3769</v>
      </c>
    </row>
    <row r="961" spans="2:20" x14ac:dyDescent="0.35">
      <c r="D961" t="s">
        <v>3933</v>
      </c>
      <c r="J961" s="295"/>
      <c r="M961" s="1" t="s">
        <v>3932</v>
      </c>
    </row>
    <row r="962" spans="2:20" x14ac:dyDescent="0.35">
      <c r="D962" t="s">
        <v>4078</v>
      </c>
      <c r="M962" s="1" t="s">
        <v>4075</v>
      </c>
    </row>
    <row r="963" spans="2:20" x14ac:dyDescent="0.35">
      <c r="D963" t="s">
        <v>4077</v>
      </c>
      <c r="M963" s="1" t="s">
        <v>4076</v>
      </c>
      <c r="T963" s="1"/>
    </row>
    <row r="964" spans="2:20" x14ac:dyDescent="0.35">
      <c r="D964" t="s">
        <v>5084</v>
      </c>
      <c r="M964" s="1" t="s">
        <v>5085</v>
      </c>
      <c r="T964" s="1"/>
    </row>
    <row r="965" spans="2:20" x14ac:dyDescent="0.35">
      <c r="M965" s="1"/>
      <c r="T965" s="1"/>
    </row>
    <row r="966" spans="2:20" x14ac:dyDescent="0.35">
      <c r="B966" s="83" t="s">
        <v>4056</v>
      </c>
      <c r="D966" t="s">
        <v>4057</v>
      </c>
      <c r="J966" s="295"/>
      <c r="M966" s="1"/>
    </row>
    <row r="967" spans="2:20" x14ac:dyDescent="0.35">
      <c r="D967" t="s">
        <v>4055</v>
      </c>
      <c r="J967" s="295"/>
      <c r="M967" s="1" t="s">
        <v>4050</v>
      </c>
    </row>
    <row r="968" spans="2:20" x14ac:dyDescent="0.35">
      <c r="D968" t="s">
        <v>4049</v>
      </c>
      <c r="J968" s="295"/>
      <c r="M968" s="1" t="s">
        <v>4048</v>
      </c>
    </row>
    <row r="969" spans="2:20" x14ac:dyDescent="0.35">
      <c r="D969" t="s">
        <v>4509</v>
      </c>
      <c r="M969" s="1" t="s">
        <v>4508</v>
      </c>
    </row>
    <row r="970" spans="2:20" x14ac:dyDescent="0.35">
      <c r="D970" t="s">
        <v>4514</v>
      </c>
      <c r="M970" s="1" t="s">
        <v>4513</v>
      </c>
    </row>
    <row r="971" spans="2:20" x14ac:dyDescent="0.35">
      <c r="D971" t="s">
        <v>4524</v>
      </c>
      <c r="M971" s="1" t="s">
        <v>4523</v>
      </c>
    </row>
    <row r="972" spans="2:20" x14ac:dyDescent="0.35">
      <c r="D972" t="s">
        <v>4763</v>
      </c>
      <c r="M972" s="1"/>
    </row>
    <row r="973" spans="2:20" x14ac:dyDescent="0.35">
      <c r="M973" s="1"/>
    </row>
    <row r="974" spans="2:20" x14ac:dyDescent="0.35">
      <c r="B974" s="83" t="s">
        <v>5764</v>
      </c>
      <c r="D974" t="s">
        <v>5766</v>
      </c>
      <c r="M974" s="1"/>
    </row>
    <row r="975" spans="2:20" x14ac:dyDescent="0.35">
      <c r="D975" t="s">
        <v>5765</v>
      </c>
      <c r="M975" s="1"/>
    </row>
    <row r="976" spans="2:20" x14ac:dyDescent="0.35">
      <c r="D976" t="s">
        <v>5081</v>
      </c>
      <c r="G976" t="s">
        <v>5083</v>
      </c>
      <c r="M976" s="1"/>
    </row>
    <row r="977" spans="1:13" x14ac:dyDescent="0.35">
      <c r="G977" t="s">
        <v>5080</v>
      </c>
      <c r="M977" s="1"/>
    </row>
    <row r="978" spans="1:13" x14ac:dyDescent="0.35">
      <c r="G978" t="s">
        <v>5082</v>
      </c>
      <c r="M978" s="1"/>
    </row>
    <row r="979" spans="1:13" x14ac:dyDescent="0.35">
      <c r="M979" s="1"/>
    </row>
    <row r="980" spans="1:13" x14ac:dyDescent="0.35">
      <c r="B980" s="83" t="s">
        <v>5078</v>
      </c>
      <c r="D980" t="s">
        <v>5079</v>
      </c>
      <c r="M980" s="1"/>
    </row>
    <row r="981" spans="1:13" x14ac:dyDescent="0.35">
      <c r="M981" s="1"/>
    </row>
    <row r="982" spans="1:13" x14ac:dyDescent="0.35">
      <c r="B982" s="83" t="s">
        <v>5086</v>
      </c>
      <c r="M982" s="1"/>
    </row>
    <row r="983" spans="1:13" x14ac:dyDescent="0.35">
      <c r="D983" t="s">
        <v>5087</v>
      </c>
      <c r="M983" s="1"/>
    </row>
    <row r="984" spans="1:13" x14ac:dyDescent="0.35">
      <c r="D984" t="s">
        <v>5088</v>
      </c>
      <c r="M984" s="1"/>
    </row>
    <row r="985" spans="1:13" x14ac:dyDescent="0.35">
      <c r="M985" s="1"/>
    </row>
    <row r="986" spans="1:13" x14ac:dyDescent="0.35">
      <c r="B986" s="83" t="s">
        <v>6795</v>
      </c>
      <c r="M986" s="1"/>
    </row>
    <row r="987" spans="1:13" x14ac:dyDescent="0.35">
      <c r="D987" t="s">
        <v>6796</v>
      </c>
      <c r="M987" s="1"/>
    </row>
    <row r="988" spans="1:13" x14ac:dyDescent="0.35">
      <c r="M988" s="1"/>
    </row>
    <row r="989" spans="1:13" s="5" customFormat="1" x14ac:dyDescent="0.35">
      <c r="A989" s="86" t="s">
        <v>8649</v>
      </c>
    </row>
    <row r="990" spans="1:13" x14ac:dyDescent="0.35">
      <c r="M990" s="1"/>
    </row>
    <row r="991" spans="1:13" x14ac:dyDescent="0.35">
      <c r="B991" s="83" t="s">
        <v>8650</v>
      </c>
      <c r="D991" t="s">
        <v>8647</v>
      </c>
      <c r="L991" s="1" t="s">
        <v>8646</v>
      </c>
      <c r="M991" s="1"/>
    </row>
    <row r="992" spans="1:13" x14ac:dyDescent="0.35">
      <c r="D992" t="s">
        <v>8654</v>
      </c>
      <c r="L992" s="1" t="s">
        <v>8653</v>
      </c>
      <c r="M992" s="1"/>
    </row>
    <row r="993" spans="1:13" x14ac:dyDescent="0.35">
      <c r="D993" t="s">
        <v>8661</v>
      </c>
      <c r="L993" s="1" t="s">
        <v>8660</v>
      </c>
      <c r="M993" s="1"/>
    </row>
    <row r="994" spans="1:13" x14ac:dyDescent="0.35">
      <c r="D994" s="155" t="s">
        <v>8663</v>
      </c>
      <c r="L994" s="1" t="s">
        <v>8662</v>
      </c>
      <c r="M994" s="1"/>
    </row>
    <row r="995" spans="1:13" x14ac:dyDescent="0.35">
      <c r="D995" s="155"/>
      <c r="L995" s="1"/>
      <c r="M995" s="1"/>
    </row>
    <row r="996" spans="1:13" x14ac:dyDescent="0.35">
      <c r="D996" s="155"/>
      <c r="L996" s="1"/>
      <c r="M996" s="1"/>
    </row>
    <row r="997" spans="1:13" x14ac:dyDescent="0.35">
      <c r="D997" s="155"/>
      <c r="L997" s="1"/>
      <c r="M997" s="1"/>
    </row>
    <row r="998" spans="1:13" s="5" customFormat="1" x14ac:dyDescent="0.35">
      <c r="A998" s="86" t="s">
        <v>4079</v>
      </c>
    </row>
    <row r="999" spans="1:13" x14ac:dyDescent="0.35">
      <c r="M999" s="1"/>
    </row>
    <row r="1000" spans="1:13" x14ac:dyDescent="0.35">
      <c r="B1000" s="83" t="s">
        <v>2662</v>
      </c>
      <c r="D1000" t="s">
        <v>3885</v>
      </c>
      <c r="L1000" s="1" t="s">
        <v>3886</v>
      </c>
    </row>
    <row r="1001" spans="1:13" x14ac:dyDescent="0.35">
      <c r="D1001" s="410" t="s">
        <v>3884</v>
      </c>
      <c r="F1001" t="s">
        <v>3887</v>
      </c>
    </row>
    <row r="1002" spans="1:13" x14ac:dyDescent="0.35">
      <c r="D1002" s="410" t="s">
        <v>3883</v>
      </c>
      <c r="F1002" t="s">
        <v>3882</v>
      </c>
      <c r="L1002" s="1"/>
    </row>
    <row r="1003" spans="1:13" x14ac:dyDescent="0.35">
      <c r="D1003" s="410"/>
    </row>
    <row r="1004" spans="1:13" x14ac:dyDescent="0.35">
      <c r="B1004" s="83" t="s">
        <v>3938</v>
      </c>
      <c r="D1004" t="s">
        <v>3922</v>
      </c>
      <c r="J1004" s="170"/>
      <c r="L1004" s="1" t="s">
        <v>3895</v>
      </c>
    </row>
    <row r="1005" spans="1:13" x14ac:dyDescent="0.35">
      <c r="D1005" t="s">
        <v>3934</v>
      </c>
      <c r="J1005" s="170"/>
      <c r="L1005" s="1" t="s">
        <v>3921</v>
      </c>
    </row>
    <row r="1006" spans="1:13" x14ac:dyDescent="0.35">
      <c r="K1006" s="170"/>
      <c r="L1006" s="1"/>
    </row>
    <row r="1007" spans="1:13" x14ac:dyDescent="0.35">
      <c r="B1007" s="83" t="s">
        <v>3903</v>
      </c>
      <c r="D1007" s="95" t="s">
        <v>3904</v>
      </c>
    </row>
    <row r="1009" spans="1:26" x14ac:dyDescent="0.35">
      <c r="B1009" s="83" t="s">
        <v>3935</v>
      </c>
      <c r="D1009" s="95" t="s">
        <v>3936</v>
      </c>
    </row>
    <row r="1010" spans="1:26" x14ac:dyDescent="0.35">
      <c r="D1010" t="s">
        <v>3937</v>
      </c>
    </row>
    <row r="1011" spans="1:26" x14ac:dyDescent="0.35">
      <c r="K1011" s="170"/>
      <c r="L1011" s="1"/>
    </row>
    <row r="1012" spans="1:26" ht="24.5" x14ac:dyDescent="0.35">
      <c r="B1012" s="83" t="s">
        <v>2662</v>
      </c>
      <c r="D1012" s="123" t="s">
        <v>3951</v>
      </c>
      <c r="I1012" s="123" t="s">
        <v>3894</v>
      </c>
      <c r="K1012" s="123" t="s">
        <v>3941</v>
      </c>
      <c r="M1012" s="123" t="s">
        <v>3946</v>
      </c>
      <c r="N1012" s="123" t="s">
        <v>3947</v>
      </c>
      <c r="P1012" s="123" t="s">
        <v>3944</v>
      </c>
      <c r="Q1012" s="123" t="s">
        <v>3945</v>
      </c>
      <c r="S1012" s="123" t="s">
        <v>3942</v>
      </c>
      <c r="T1012" s="123" t="s">
        <v>3943</v>
      </c>
      <c r="U1012" s="1"/>
      <c r="V1012" s="123" t="s">
        <v>3948</v>
      </c>
      <c r="W1012" s="123" t="s">
        <v>3949</v>
      </c>
      <c r="X1012" s="123" t="s">
        <v>3950</v>
      </c>
      <c r="Z1012" s="123" t="s">
        <v>3893</v>
      </c>
    </row>
    <row r="1013" spans="1:26" x14ac:dyDescent="0.35">
      <c r="D1013" s="14" t="s">
        <v>3939</v>
      </c>
      <c r="I1013" s="8">
        <f>4*0.05 + 1*0.34 + 10*0.05 + 5*0.05 + 1*0.03</f>
        <v>1.32</v>
      </c>
      <c r="K1013">
        <v>10</v>
      </c>
      <c r="M1013">
        <v>100</v>
      </c>
      <c r="N1013">
        <v>70</v>
      </c>
      <c r="S1013">
        <v>5</v>
      </c>
      <c r="T1013">
        <v>4</v>
      </c>
      <c r="U1013" s="1"/>
      <c r="V1013">
        <v>305</v>
      </c>
      <c r="W1013">
        <v>302</v>
      </c>
      <c r="X1013" s="296">
        <f>W1013/V1013</f>
        <v>0.99016393442622952</v>
      </c>
      <c r="Z1013" t="s">
        <v>3940</v>
      </c>
    </row>
    <row r="1014" spans="1:26" x14ac:dyDescent="0.35">
      <c r="E1014" s="14"/>
      <c r="J1014" s="8"/>
      <c r="V1014" s="1"/>
      <c r="Y1014" s="296"/>
    </row>
    <row r="1015" spans="1:26" s="5" customFormat="1" x14ac:dyDescent="0.35">
      <c r="A1015" s="86" t="s">
        <v>4014</v>
      </c>
    </row>
    <row r="1016" spans="1:26" x14ac:dyDescent="0.35">
      <c r="F1016" s="14"/>
      <c r="J1016" s="8"/>
      <c r="V1016" s="1"/>
      <c r="Y1016" s="296"/>
    </row>
    <row r="1017" spans="1:26" x14ac:dyDescent="0.35">
      <c r="B1017" s="83" t="s">
        <v>2662</v>
      </c>
      <c r="D1017" t="s">
        <v>4016</v>
      </c>
      <c r="E1017" s="14"/>
      <c r="I1017" s="8"/>
      <c r="U1017" s="1"/>
      <c r="X1017" s="296"/>
    </row>
    <row r="1018" spans="1:26" x14ac:dyDescent="0.35">
      <c r="E1018" s="14"/>
      <c r="I1018" s="8"/>
      <c r="L1018" s="1"/>
      <c r="U1018" s="1"/>
      <c r="X1018" s="296"/>
    </row>
    <row r="1019" spans="1:26" x14ac:dyDescent="0.35">
      <c r="B1019" s="83" t="s">
        <v>4797</v>
      </c>
      <c r="D1019" t="s">
        <v>4022</v>
      </c>
      <c r="E1019" s="14"/>
      <c r="I1019" s="8"/>
      <c r="L1019" s="1" t="s">
        <v>4019</v>
      </c>
      <c r="U1019" s="1"/>
      <c r="X1019" s="296"/>
    </row>
    <row r="1020" spans="1:26" x14ac:dyDescent="0.35">
      <c r="B1020" s="83" t="s">
        <v>4798</v>
      </c>
      <c r="D1020" t="s">
        <v>4025</v>
      </c>
      <c r="E1020" s="14"/>
      <c r="I1020" s="8"/>
      <c r="L1020" s="1" t="s">
        <v>4021</v>
      </c>
      <c r="U1020" s="1"/>
      <c r="X1020" s="296"/>
    </row>
    <row r="1021" spans="1:26" x14ac:dyDescent="0.35">
      <c r="D1021" t="s">
        <v>4026</v>
      </c>
      <c r="E1021" s="14"/>
      <c r="I1021" s="8"/>
      <c r="K1021" s="162"/>
      <c r="L1021" s="1" t="s">
        <v>4023</v>
      </c>
      <c r="U1021" s="1"/>
      <c r="X1021" s="296"/>
    </row>
    <row r="1022" spans="1:26" x14ac:dyDescent="0.35">
      <c r="D1022" t="s">
        <v>4027</v>
      </c>
      <c r="E1022" s="14"/>
      <c r="I1022" s="8"/>
      <c r="K1022" s="162"/>
      <c r="L1022" s="1" t="s">
        <v>4024</v>
      </c>
      <c r="U1022" s="1"/>
      <c r="X1022" s="296"/>
    </row>
    <row r="1023" spans="1:26" x14ac:dyDescent="0.35">
      <c r="D1023" s="155"/>
      <c r="E1023" s="155"/>
      <c r="F1023" s="155"/>
      <c r="G1023" s="155"/>
      <c r="H1023" s="155"/>
      <c r="I1023" s="8"/>
      <c r="J1023" s="155"/>
      <c r="K1023" s="312"/>
      <c r="L1023" s="1"/>
      <c r="U1023" s="1"/>
      <c r="X1023" s="296"/>
    </row>
    <row r="1024" spans="1:26" x14ac:dyDescent="0.35">
      <c r="B1024" s="83" t="s">
        <v>1377</v>
      </c>
      <c r="D1024" s="155" t="s">
        <v>4018</v>
      </c>
      <c r="E1024" s="155"/>
      <c r="F1024" s="155"/>
      <c r="G1024" s="155"/>
      <c r="H1024" s="155"/>
      <c r="I1024" s="155"/>
      <c r="J1024" s="170"/>
      <c r="K1024" s="155"/>
      <c r="L1024" s="1" t="s">
        <v>4013</v>
      </c>
      <c r="N1024" t="s">
        <v>0</v>
      </c>
      <c r="P1024" s="73" t="s">
        <v>3850</v>
      </c>
      <c r="Q1024" s="1" t="s">
        <v>4020</v>
      </c>
      <c r="S1024" s="313"/>
      <c r="T1024" s="1"/>
      <c r="V1024" s="313"/>
      <c r="W1024" s="1"/>
    </row>
    <row r="1025" spans="1:24" x14ac:dyDescent="0.35">
      <c r="D1025" s="155" t="s">
        <v>4015</v>
      </c>
      <c r="E1025" s="155"/>
      <c r="F1025" s="155"/>
      <c r="G1025" s="155"/>
      <c r="H1025" s="155"/>
      <c r="I1025" s="155"/>
      <c r="J1025" s="170"/>
      <c r="K1025" s="155"/>
      <c r="L1025" s="1" t="s">
        <v>4017</v>
      </c>
      <c r="N1025" t="s">
        <v>0</v>
      </c>
      <c r="P1025" s="73"/>
      <c r="Q1025" s="1"/>
      <c r="S1025" s="313"/>
      <c r="T1025" s="1"/>
      <c r="V1025" s="313"/>
      <c r="W1025" s="1"/>
    </row>
    <row r="1026" spans="1:24" x14ac:dyDescent="0.35">
      <c r="D1026" s="155"/>
      <c r="E1026" s="155"/>
      <c r="F1026" s="155"/>
      <c r="G1026" s="155"/>
      <c r="H1026" s="155"/>
      <c r="I1026" s="155"/>
      <c r="J1026" s="170"/>
      <c r="K1026" s="155"/>
      <c r="L1026" s="1"/>
      <c r="P1026" s="73"/>
      <c r="Q1026" s="1"/>
      <c r="S1026" s="313"/>
      <c r="T1026" s="1"/>
      <c r="V1026" s="313"/>
      <c r="W1026" s="1"/>
    </row>
    <row r="1027" spans="1:24" x14ac:dyDescent="0.35">
      <c r="B1027" s="83" t="s">
        <v>3926</v>
      </c>
      <c r="D1027" s="155" t="s">
        <v>4101</v>
      </c>
      <c r="E1027" s="155"/>
      <c r="F1027" s="155"/>
      <c r="G1027" s="155"/>
      <c r="H1027" s="155"/>
      <c r="I1027" s="155"/>
      <c r="J1027" s="170"/>
      <c r="K1027" s="155"/>
      <c r="L1027" s="1"/>
      <c r="P1027" s="73"/>
      <c r="Q1027" s="1"/>
      <c r="S1027" s="313"/>
      <c r="T1027" s="1"/>
      <c r="V1027" s="313"/>
      <c r="W1027" s="1"/>
    </row>
    <row r="1028" spans="1:24" x14ac:dyDescent="0.35">
      <c r="D1028" s="295"/>
      <c r="E1028" s="155"/>
      <c r="F1028" s="155"/>
      <c r="G1028" s="155"/>
      <c r="H1028" s="155"/>
      <c r="I1028" s="155"/>
      <c r="J1028" s="155"/>
      <c r="K1028" s="170"/>
      <c r="L1028" s="155"/>
      <c r="M1028" s="1"/>
      <c r="Q1028" s="73"/>
      <c r="R1028" s="1"/>
      <c r="T1028" s="313"/>
      <c r="U1028" s="1"/>
      <c r="W1028" s="313"/>
      <c r="X1028" s="1"/>
    </row>
    <row r="1029" spans="1:24" s="88" customFormat="1" x14ac:dyDescent="0.35">
      <c r="A1029" s="86" t="s">
        <v>1775</v>
      </c>
    </row>
    <row r="1031" spans="1:24" x14ac:dyDescent="0.35">
      <c r="B1031" s="83">
        <v>75</v>
      </c>
      <c r="C1031" t="s">
        <v>1777</v>
      </c>
      <c r="O1031" s="1" t="s">
        <v>1776</v>
      </c>
    </row>
    <row r="1032" spans="1:24" x14ac:dyDescent="0.35">
      <c r="B1032" s="175">
        <v>6875</v>
      </c>
    </row>
    <row r="1033" spans="1:24" x14ac:dyDescent="0.35">
      <c r="B1033" s="176">
        <f>B1032/B1031</f>
        <v>91.666666666666671</v>
      </c>
    </row>
    <row r="1035" spans="1:24" s="5" customFormat="1" x14ac:dyDescent="0.35">
      <c r="A1035" s="86" t="s">
        <v>2768</v>
      </c>
    </row>
    <row r="1036" spans="1:24" x14ac:dyDescent="0.35">
      <c r="A1036" s="87"/>
    </row>
    <row r="1037" spans="1:24" ht="16.5" x14ac:dyDescent="0.45">
      <c r="A1037" s="87"/>
      <c r="B1037" s="83" t="s">
        <v>2769</v>
      </c>
      <c r="D1037" s="25">
        <f>2000/2291</f>
        <v>0.87298123090353552</v>
      </c>
      <c r="E1037" t="s">
        <v>2770</v>
      </c>
      <c r="O1037" s="1" t="s">
        <v>2771</v>
      </c>
    </row>
    <row r="1038" spans="1:24" x14ac:dyDescent="0.35">
      <c r="A1038" s="87"/>
    </row>
    <row r="1039" spans="1:24" x14ac:dyDescent="0.35">
      <c r="A1039" s="87"/>
      <c r="D1039">
        <v>10000</v>
      </c>
      <c r="E1039" t="s">
        <v>2774</v>
      </c>
    </row>
    <row r="1040" spans="1:24" x14ac:dyDescent="0.35">
      <c r="A1040" s="87"/>
      <c r="D1040" s="34">
        <f>10000*3</f>
        <v>30000</v>
      </c>
      <c r="E1040" t="s">
        <v>2772</v>
      </c>
    </row>
    <row r="1041" spans="1:16" x14ac:dyDescent="0.35">
      <c r="A1041" s="87"/>
      <c r="D1041" s="20">
        <f>D1040*D$1037</f>
        <v>26189.436927106064</v>
      </c>
      <c r="E1041" t="s">
        <v>2778</v>
      </c>
    </row>
    <row r="1042" spans="1:16" x14ac:dyDescent="0.35">
      <c r="A1042" s="87"/>
    </row>
    <row r="1043" spans="1:16" x14ac:dyDescent="0.35">
      <c r="D1043">
        <v>4</v>
      </c>
      <c r="E1043" t="s">
        <v>2773</v>
      </c>
    </row>
    <row r="1044" spans="1:16" x14ac:dyDescent="0.35">
      <c r="D1044">
        <f>D1043*365</f>
        <v>1460</v>
      </c>
      <c r="E1044" t="s">
        <v>580</v>
      </c>
    </row>
    <row r="1045" spans="1:16" x14ac:dyDescent="0.35">
      <c r="D1045" s="53">
        <v>0.7</v>
      </c>
      <c r="E1045" t="s">
        <v>2775</v>
      </c>
    </row>
    <row r="1046" spans="1:16" x14ac:dyDescent="0.35">
      <c r="D1046" s="20">
        <f>D1045*D1039*D1044/1000</f>
        <v>10220</v>
      </c>
      <c r="E1046" t="s">
        <v>2779</v>
      </c>
    </row>
    <row r="1047" spans="1:16" x14ac:dyDescent="0.35">
      <c r="D1047">
        <v>20</v>
      </c>
      <c r="E1047" t="s">
        <v>2781</v>
      </c>
    </row>
    <row r="1048" spans="1:16" x14ac:dyDescent="0.35">
      <c r="D1048" s="20">
        <f>D1047*D1046</f>
        <v>204400</v>
      </c>
      <c r="E1048" t="s">
        <v>2780</v>
      </c>
    </row>
    <row r="1050" spans="1:16" x14ac:dyDescent="0.35">
      <c r="D1050" s="12">
        <f>0.572*2.2</f>
        <v>1.2584</v>
      </c>
      <c r="E1050" t="s">
        <v>2777</v>
      </c>
      <c r="O1050" t="s">
        <v>2784</v>
      </c>
    </row>
    <row r="1051" spans="1:16" x14ac:dyDescent="0.35">
      <c r="D1051" s="154">
        <f>D1050*D1048</f>
        <v>257216.96</v>
      </c>
      <c r="E1051" t="s">
        <v>2782</v>
      </c>
      <c r="O1051" t="s">
        <v>604</v>
      </c>
      <c r="P1051" s="1" t="s">
        <v>2776</v>
      </c>
    </row>
    <row r="1053" spans="1:16" x14ac:dyDescent="0.35">
      <c r="D1053" s="48">
        <f>D1051-D1041</f>
        <v>231027.52307289394</v>
      </c>
      <c r="E1053" t="s">
        <v>2783</v>
      </c>
    </row>
    <row r="1055" spans="1:16" s="5" customFormat="1" x14ac:dyDescent="0.35">
      <c r="A1055" s="86" t="s">
        <v>8898</v>
      </c>
    </row>
    <row r="1057" spans="2:30" x14ac:dyDescent="0.35">
      <c r="B1057" s="83" t="s">
        <v>2976</v>
      </c>
      <c r="G1057" s="300" t="s">
        <v>2992</v>
      </c>
    </row>
    <row r="1058" spans="2:30" x14ac:dyDescent="0.35">
      <c r="G1058" s="300"/>
    </row>
    <row r="1059" spans="2:30" ht="36.5" x14ac:dyDescent="0.35">
      <c r="D1059" s="123" t="s">
        <v>2956</v>
      </c>
      <c r="E1059" s="4"/>
      <c r="F1059" s="123" t="s">
        <v>2975</v>
      </c>
      <c r="G1059" s="123" t="s">
        <v>2957</v>
      </c>
      <c r="H1059" s="123" t="s">
        <v>2954</v>
      </c>
      <c r="I1059" s="123" t="s">
        <v>2955</v>
      </c>
      <c r="J1059" s="123" t="s">
        <v>6692</v>
      </c>
      <c r="K1059" s="123" t="s">
        <v>6693</v>
      </c>
      <c r="L1059" s="123" t="s">
        <v>6694</v>
      </c>
      <c r="M1059" s="123" t="s">
        <v>6580</v>
      </c>
      <c r="N1059" s="123" t="s">
        <v>6575</v>
      </c>
      <c r="O1059" s="123" t="s">
        <v>2958</v>
      </c>
      <c r="P1059" s="123" t="s">
        <v>2959</v>
      </c>
      <c r="Q1059" s="123" t="s">
        <v>2963</v>
      </c>
      <c r="R1059" s="4"/>
      <c r="S1059" s="123" t="s">
        <v>3290</v>
      </c>
      <c r="T1059" s="123" t="s">
        <v>2961</v>
      </c>
      <c r="U1059" s="4"/>
      <c r="V1059" s="123" t="s">
        <v>4228</v>
      </c>
    </row>
    <row r="1060" spans="2:30" x14ac:dyDescent="0.35">
      <c r="D1060" t="s">
        <v>6579</v>
      </c>
      <c r="F1060" s="186">
        <v>1.25</v>
      </c>
      <c r="G1060" s="296">
        <v>1E-3</v>
      </c>
      <c r="H1060">
        <v>2.5</v>
      </c>
      <c r="I1060">
        <v>10</v>
      </c>
      <c r="J1060" s="73">
        <v>100</v>
      </c>
      <c r="M1060" s="383" t="s">
        <v>6582</v>
      </c>
      <c r="O1060" s="10">
        <v>3.3</v>
      </c>
      <c r="P1060" t="s">
        <v>2965</v>
      </c>
      <c r="Q1060" t="s">
        <v>2962</v>
      </c>
      <c r="T1060" s="1" t="s">
        <v>2960</v>
      </c>
      <c r="V1060" t="s">
        <v>0</v>
      </c>
    </row>
    <row r="1061" spans="2:30" x14ac:dyDescent="0.35">
      <c r="D1061" t="s">
        <v>2964</v>
      </c>
      <c r="F1061" s="73" t="s">
        <v>122</v>
      </c>
      <c r="G1061" s="73" t="s">
        <v>122</v>
      </c>
      <c r="H1061" s="73" t="s">
        <v>122</v>
      </c>
      <c r="I1061" s="73" t="s">
        <v>122</v>
      </c>
      <c r="J1061" s="73" t="s">
        <v>122</v>
      </c>
      <c r="K1061">
        <v>18</v>
      </c>
      <c r="L1061">
        <v>42</v>
      </c>
      <c r="M1061" s="7"/>
      <c r="O1061" s="10">
        <v>2.5</v>
      </c>
      <c r="P1061" t="s">
        <v>2967</v>
      </c>
      <c r="Q1061" t="s">
        <v>2962</v>
      </c>
    </row>
    <row r="1062" spans="2:30" x14ac:dyDescent="0.35">
      <c r="C1062" s="351" t="s">
        <v>3063</v>
      </c>
      <c r="D1062" s="95" t="s">
        <v>6574</v>
      </c>
      <c r="F1062" s="186">
        <v>1</v>
      </c>
      <c r="G1062" s="298">
        <v>8.0000000000000004E-4</v>
      </c>
      <c r="H1062" s="299">
        <v>2</v>
      </c>
      <c r="I1062" s="299">
        <v>8</v>
      </c>
      <c r="J1062" s="73">
        <v>300</v>
      </c>
      <c r="K1062" s="299">
        <v>4.8</v>
      </c>
      <c r="L1062" s="299">
        <v>3</v>
      </c>
      <c r="M1062" s="383" t="s">
        <v>6581</v>
      </c>
      <c r="N1062" s="420" t="s">
        <v>6576</v>
      </c>
      <c r="O1062" s="10">
        <v>3.3</v>
      </c>
      <c r="P1062" t="s">
        <v>6614</v>
      </c>
      <c r="Q1062" t="s">
        <v>6615</v>
      </c>
      <c r="R1062" s="349"/>
      <c r="S1062" t="s">
        <v>3302</v>
      </c>
      <c r="T1062" s="1" t="s">
        <v>2966</v>
      </c>
      <c r="V1062" t="s">
        <v>8731</v>
      </c>
    </row>
    <row r="1064" spans="2:30" ht="24.5" x14ac:dyDescent="0.35">
      <c r="D1064" s="752" t="s">
        <v>2993</v>
      </c>
      <c r="H1064" s="123" t="s">
        <v>2949</v>
      </c>
      <c r="I1064" s="123" t="s">
        <v>2950</v>
      </c>
      <c r="J1064" s="123" t="s">
        <v>2951</v>
      </c>
      <c r="K1064" s="123" t="s">
        <v>2952</v>
      </c>
      <c r="L1064" s="123" t="s">
        <v>2953</v>
      </c>
    </row>
    <row r="1065" spans="2:30" x14ac:dyDescent="0.35">
      <c r="D1065" s="690"/>
      <c r="H1065" s="296">
        <v>1E-3</v>
      </c>
      <c r="I1065">
        <v>8</v>
      </c>
      <c r="J1065">
        <v>70</v>
      </c>
      <c r="K1065" s="49">
        <f>J1065*I1065/1000000</f>
        <v>5.5999999999999995E-4</v>
      </c>
      <c r="L1065" s="296">
        <f>K1065+H1065</f>
        <v>1.56E-3</v>
      </c>
    </row>
    <row r="1066" spans="2:30" x14ac:dyDescent="0.35">
      <c r="D1066" s="690"/>
      <c r="H1066" s="296">
        <v>1E-3</v>
      </c>
      <c r="I1066">
        <v>8</v>
      </c>
      <c r="J1066">
        <v>50</v>
      </c>
      <c r="K1066" s="49">
        <f>J1066*I1066/1000000</f>
        <v>4.0000000000000002E-4</v>
      </c>
      <c r="L1066" s="296">
        <f>K1066+H1066</f>
        <v>1.4E-3</v>
      </c>
    </row>
    <row r="1067" spans="2:30" x14ac:dyDescent="0.35">
      <c r="H1067" s="296">
        <v>1E-3</v>
      </c>
      <c r="I1067">
        <v>5</v>
      </c>
      <c r="J1067">
        <v>70</v>
      </c>
      <c r="K1067" s="49">
        <f>J1067*I1067/1000000</f>
        <v>3.5E-4</v>
      </c>
      <c r="L1067" s="296">
        <f>K1067+H1067</f>
        <v>1.3500000000000001E-3</v>
      </c>
    </row>
    <row r="1068" spans="2:30" x14ac:dyDescent="0.35">
      <c r="H1068" s="296">
        <v>1E-3</v>
      </c>
      <c r="I1068">
        <v>5</v>
      </c>
      <c r="J1068">
        <v>50</v>
      </c>
      <c r="K1068" s="49">
        <f>J1068*I1068/1000000</f>
        <v>2.5000000000000001E-4</v>
      </c>
      <c r="L1068" s="296">
        <f>K1068+H1068</f>
        <v>1.25E-3</v>
      </c>
    </row>
    <row r="1069" spans="2:30" x14ac:dyDescent="0.35">
      <c r="D1069" s="296"/>
      <c r="G1069" s="49"/>
      <c r="H1069" s="296"/>
    </row>
    <row r="1070" spans="2:30" ht="36.5" x14ac:dyDescent="0.35">
      <c r="B1070" s="83" t="s">
        <v>3062</v>
      </c>
      <c r="D1070" s="123" t="s">
        <v>2956</v>
      </c>
      <c r="E1070" s="4"/>
      <c r="F1070" s="123" t="s">
        <v>2975</v>
      </c>
      <c r="G1070" s="123" t="s">
        <v>2968</v>
      </c>
      <c r="H1070" s="123" t="s">
        <v>6916</v>
      </c>
      <c r="I1070" s="123" t="s">
        <v>3395</v>
      </c>
      <c r="J1070" s="123" t="s">
        <v>2971</v>
      </c>
      <c r="K1070" s="123" t="s">
        <v>6915</v>
      </c>
      <c r="L1070" s="123" t="s">
        <v>2974</v>
      </c>
      <c r="M1070" s="123" t="s">
        <v>6691</v>
      </c>
      <c r="N1070" s="123" t="s">
        <v>6690</v>
      </c>
      <c r="O1070" s="123" t="s">
        <v>2973</v>
      </c>
      <c r="P1070" s="4"/>
      <c r="Q1070" s="123" t="s">
        <v>3061</v>
      </c>
      <c r="R1070" s="123" t="s">
        <v>3041</v>
      </c>
      <c r="S1070" s="123" t="s">
        <v>6689</v>
      </c>
      <c r="T1070" s="123" t="s">
        <v>2972</v>
      </c>
      <c r="U1070" s="123" t="s">
        <v>2959</v>
      </c>
      <c r="V1070" s="4"/>
      <c r="W1070" s="123" t="s">
        <v>2969</v>
      </c>
      <c r="X1070" s="4"/>
      <c r="Y1070" s="123" t="s">
        <v>3290</v>
      </c>
      <c r="Z1070" s="123" t="s">
        <v>2961</v>
      </c>
      <c r="AB1070" s="123" t="s">
        <v>4228</v>
      </c>
      <c r="AD1070" t="s">
        <v>0</v>
      </c>
    </row>
    <row r="1071" spans="2:30" x14ac:dyDescent="0.35">
      <c r="D1071" s="690" t="s">
        <v>5615</v>
      </c>
      <c r="E1071" s="7"/>
      <c r="F1071" s="297"/>
      <c r="G1071" s="297"/>
      <c r="H1071" s="297"/>
      <c r="I1071" s="297"/>
      <c r="J1071" s="297"/>
      <c r="K1071" s="297"/>
      <c r="L1071" s="297"/>
      <c r="M1071" s="297"/>
      <c r="O1071" s="297"/>
      <c r="P1071" s="7"/>
      <c r="Q1071" s="297"/>
      <c r="R1071" s="297"/>
      <c r="S1071" s="297"/>
      <c r="T1071" s="297"/>
      <c r="U1071" s="297"/>
      <c r="V1071" s="7"/>
      <c r="W1071" s="297"/>
      <c r="X1071" s="7"/>
      <c r="Z1071" s="297"/>
      <c r="AB1071" s="295"/>
    </row>
    <row r="1072" spans="2:30" x14ac:dyDescent="0.35">
      <c r="B1072" s="302"/>
      <c r="C1072" s="351" t="s">
        <v>3063</v>
      </c>
      <c r="D1072" s="155" t="s">
        <v>8789</v>
      </c>
      <c r="F1072" s="8">
        <v>0.14000000000000001</v>
      </c>
      <c r="G1072" s="530" t="s">
        <v>5479</v>
      </c>
      <c r="H1072" s="314" t="s">
        <v>6327</v>
      </c>
      <c r="I1072">
        <v>5</v>
      </c>
      <c r="J1072" s="420" t="s">
        <v>6365</v>
      </c>
      <c r="K1072" s="443" t="s">
        <v>6364</v>
      </c>
      <c r="L1072">
        <v>1</v>
      </c>
      <c r="M1072">
        <v>0.9</v>
      </c>
      <c r="N1072">
        <v>1.7</v>
      </c>
      <c r="O1072" s="295" t="s">
        <v>6363</v>
      </c>
      <c r="S1072" s="295" t="s">
        <v>6385</v>
      </c>
      <c r="T1072">
        <v>5.5</v>
      </c>
      <c r="U1072" s="472" t="s">
        <v>7323</v>
      </c>
      <c r="V1072" s="135"/>
      <c r="W1072" s="472" t="s">
        <v>6384</v>
      </c>
      <c r="Z1072" s="1" t="s">
        <v>4500</v>
      </c>
      <c r="AB1072" s="295" t="s">
        <v>7698</v>
      </c>
    </row>
    <row r="1073" spans="1:31" x14ac:dyDescent="0.35">
      <c r="B1073" s="302"/>
      <c r="C1073" s="351"/>
      <c r="D1073" s="155" t="s">
        <v>8787</v>
      </c>
      <c r="F1073" s="8">
        <v>0.08</v>
      </c>
      <c r="G1073" s="530" t="s">
        <v>5479</v>
      </c>
      <c r="H1073" s="314" t="s">
        <v>8788</v>
      </c>
      <c r="J1073" s="420"/>
      <c r="K1073" s="443"/>
      <c r="O1073" s="295"/>
      <c r="S1073" s="295"/>
      <c r="U1073" s="472"/>
      <c r="V1073" s="135"/>
      <c r="W1073" s="472"/>
      <c r="Z1073" s="1" t="s">
        <v>8783</v>
      </c>
      <c r="AB1073" s="295" t="s">
        <v>0</v>
      </c>
    </row>
    <row r="1074" spans="1:31" x14ac:dyDescent="0.35">
      <c r="B1074" s="302"/>
      <c r="C1074" s="351"/>
      <c r="D1074" s="155" t="s">
        <v>7329</v>
      </c>
      <c r="F1074" s="8">
        <v>0.34</v>
      </c>
      <c r="G1074">
        <v>4</v>
      </c>
      <c r="H1074" s="314" t="s">
        <v>7331</v>
      </c>
      <c r="J1074" s="420" t="s">
        <v>7332</v>
      </c>
      <c r="K1074" s="443" t="s">
        <v>7333</v>
      </c>
      <c r="L1074">
        <v>1</v>
      </c>
      <c r="M1074" s="311" t="s">
        <v>3043</v>
      </c>
      <c r="N1074">
        <v>1</v>
      </c>
      <c r="O1074" s="295" t="s">
        <v>7334</v>
      </c>
      <c r="Q1074">
        <v>2004</v>
      </c>
      <c r="S1074" t="s">
        <v>7335</v>
      </c>
      <c r="T1074">
        <v>4.4000000000000004</v>
      </c>
      <c r="U1074" s="472" t="s">
        <v>7336</v>
      </c>
      <c r="V1074" s="135"/>
      <c r="W1074" s="472" t="s">
        <v>7337</v>
      </c>
      <c r="Z1074" s="1" t="s">
        <v>7330</v>
      </c>
      <c r="AB1074" s="295" t="s">
        <v>0</v>
      </c>
    </row>
    <row r="1075" spans="1:31" x14ac:dyDescent="0.35">
      <c r="B1075" s="302"/>
      <c r="D1075" t="s">
        <v>4504</v>
      </c>
      <c r="F1075" s="8">
        <v>0.27</v>
      </c>
      <c r="G1075">
        <v>4</v>
      </c>
      <c r="H1075" s="314"/>
      <c r="I1075">
        <v>1.2</v>
      </c>
      <c r="J1075" s="12">
        <v>5</v>
      </c>
      <c r="K1075" s="444" t="s">
        <v>4505</v>
      </c>
      <c r="L1075">
        <v>7</v>
      </c>
      <c r="M1075" s="311" t="s">
        <v>3043</v>
      </c>
      <c r="N1075">
        <v>8</v>
      </c>
      <c r="O1075" s="310" t="s">
        <v>4506</v>
      </c>
      <c r="Q1075">
        <v>2016</v>
      </c>
      <c r="S1075" s="402">
        <v>675</v>
      </c>
      <c r="T1075">
        <v>5.5</v>
      </c>
      <c r="U1075" s="761" t="s">
        <v>7341</v>
      </c>
      <c r="V1075" s="135"/>
      <c r="W1075" s="472" t="s">
        <v>3789</v>
      </c>
      <c r="X1075" s="1"/>
      <c r="Z1075" s="1" t="s">
        <v>4503</v>
      </c>
      <c r="AB1075" s="295" t="s">
        <v>0</v>
      </c>
      <c r="AC1075" t="s">
        <v>4507</v>
      </c>
    </row>
    <row r="1076" spans="1:31" x14ac:dyDescent="0.35">
      <c r="B1076" s="302"/>
      <c r="D1076" t="s">
        <v>6863</v>
      </c>
      <c r="F1076" s="8">
        <v>0.32</v>
      </c>
      <c r="G1076">
        <v>4</v>
      </c>
      <c r="H1076" s="314" t="s">
        <v>7339</v>
      </c>
      <c r="I1076">
        <v>5</v>
      </c>
      <c r="J1076" s="420" t="s">
        <v>6367</v>
      </c>
      <c r="K1076" s="443" t="s">
        <v>7338</v>
      </c>
      <c r="L1076">
        <v>1</v>
      </c>
      <c r="M1076">
        <v>0.9</v>
      </c>
      <c r="N1076">
        <v>2</v>
      </c>
      <c r="O1076" s="295" t="s">
        <v>7340</v>
      </c>
      <c r="Q1076">
        <v>2017</v>
      </c>
      <c r="S1076">
        <v>85</v>
      </c>
      <c r="T1076">
        <v>5.5</v>
      </c>
      <c r="U1076" s="472" t="s">
        <v>7342</v>
      </c>
      <c r="V1076" s="135"/>
      <c r="W1076" s="472" t="s">
        <v>7343</v>
      </c>
      <c r="X1076" s="1"/>
      <c r="Z1076" s="1" t="s">
        <v>6793</v>
      </c>
      <c r="AB1076" s="295" t="s">
        <v>0</v>
      </c>
    </row>
    <row r="1077" spans="1:31" x14ac:dyDescent="0.35">
      <c r="B1077" s="302"/>
      <c r="F1077" s="8"/>
      <c r="G1077" s="89"/>
      <c r="H1077" s="314"/>
      <c r="J1077" s="12"/>
      <c r="K1077" s="444"/>
      <c r="O1077" s="295"/>
      <c r="S1077" s="402"/>
      <c r="U1077" s="472"/>
      <c r="V1077" s="135"/>
      <c r="W1077" s="472"/>
      <c r="X1077" s="1"/>
      <c r="Z1077" s="1"/>
      <c r="AB1077" s="295"/>
    </row>
    <row r="1078" spans="1:31" x14ac:dyDescent="0.35">
      <c r="D1078" s="690" t="s">
        <v>5614</v>
      </c>
      <c r="H1078" s="314"/>
      <c r="J1078" s="12"/>
      <c r="K1078" s="443"/>
      <c r="M1078" s="295"/>
      <c r="S1078" s="295"/>
      <c r="U1078" s="472"/>
      <c r="V1078" s="135"/>
      <c r="W1078" s="135"/>
      <c r="X1078" s="1"/>
      <c r="AB1078" s="295"/>
    </row>
    <row r="1079" spans="1:31" x14ac:dyDescent="0.35">
      <c r="B1079" s="302"/>
      <c r="C1079" s="351" t="s">
        <v>3063</v>
      </c>
      <c r="D1079" t="s">
        <v>7722</v>
      </c>
      <c r="F1079" s="8">
        <v>0.49</v>
      </c>
      <c r="G1079">
        <v>4</v>
      </c>
      <c r="H1079" s="314" t="s">
        <v>5600</v>
      </c>
      <c r="I1079">
        <v>4</v>
      </c>
      <c r="J1079" s="420" t="s">
        <v>6367</v>
      </c>
      <c r="K1079" s="443" t="s">
        <v>6388</v>
      </c>
      <c r="L1079">
        <v>10</v>
      </c>
      <c r="M1079">
        <v>0.2</v>
      </c>
      <c r="N1079">
        <v>6.5</v>
      </c>
      <c r="O1079" s="295" t="s">
        <v>6360</v>
      </c>
      <c r="Q1079">
        <v>2017</v>
      </c>
      <c r="R1079">
        <v>1</v>
      </c>
      <c r="S1079" s="402" t="s">
        <v>6356</v>
      </c>
      <c r="T1079">
        <v>5.5</v>
      </c>
      <c r="U1079" s="472" t="s">
        <v>6371</v>
      </c>
      <c r="V1079" s="135"/>
      <c r="W1079" s="472" t="s">
        <v>6358</v>
      </c>
      <c r="Y1079" t="s">
        <v>3296</v>
      </c>
      <c r="Z1079" s="1" t="s">
        <v>3060</v>
      </c>
      <c r="AB1079" s="295" t="s">
        <v>8875</v>
      </c>
      <c r="AC1079" s="1" t="s">
        <v>3059</v>
      </c>
      <c r="AD1079" t="s">
        <v>0</v>
      </c>
      <c r="AE1079" t="s">
        <v>6792</v>
      </c>
    </row>
    <row r="1080" spans="1:31" x14ac:dyDescent="0.35">
      <c r="B1080" s="302"/>
      <c r="C1080" s="351"/>
      <c r="D1080" t="s">
        <v>9094</v>
      </c>
      <c r="F1080" s="8">
        <v>0.41</v>
      </c>
      <c r="G1080">
        <v>4</v>
      </c>
      <c r="H1080" s="314" t="s">
        <v>6368</v>
      </c>
      <c r="I1080" s="313" t="s">
        <v>3919</v>
      </c>
      <c r="J1080" s="420" t="s">
        <v>6367</v>
      </c>
      <c r="K1080" s="313" t="s">
        <v>3919</v>
      </c>
      <c r="L1080">
        <v>5</v>
      </c>
      <c r="M1080">
        <v>0.3</v>
      </c>
      <c r="N1080" s="13">
        <v>15</v>
      </c>
      <c r="O1080" s="295" t="s">
        <v>6369</v>
      </c>
      <c r="Q1080">
        <v>2018</v>
      </c>
      <c r="R1080">
        <v>1</v>
      </c>
      <c r="S1080" s="95" t="s">
        <v>6370</v>
      </c>
      <c r="T1080">
        <v>5.5</v>
      </c>
      <c r="U1080" s="472" t="s">
        <v>6371</v>
      </c>
      <c r="V1080" s="135"/>
      <c r="W1080" s="472" t="s">
        <v>6372</v>
      </c>
      <c r="Z1080" s="1" t="s">
        <v>6366</v>
      </c>
      <c r="AB1080" s="295" t="s">
        <v>8874</v>
      </c>
      <c r="AC1080" s="1"/>
      <c r="AE1080" t="s">
        <v>6373</v>
      </c>
    </row>
    <row r="1081" spans="1:31" x14ac:dyDescent="0.35">
      <c r="B1081" s="302"/>
      <c r="D1081" t="s">
        <v>6359</v>
      </c>
      <c r="F1081" s="8">
        <v>0.44</v>
      </c>
      <c r="G1081">
        <v>4</v>
      </c>
      <c r="H1081" s="314" t="s">
        <v>6355</v>
      </c>
      <c r="I1081" s="313" t="s">
        <v>3919</v>
      </c>
      <c r="J1081" s="12">
        <v>3</v>
      </c>
      <c r="K1081" s="696" t="s">
        <v>6814</v>
      </c>
      <c r="L1081">
        <v>8</v>
      </c>
      <c r="M1081">
        <v>0.2</v>
      </c>
      <c r="N1081">
        <v>4.5</v>
      </c>
      <c r="O1081" s="295" t="s">
        <v>3919</v>
      </c>
      <c r="Q1081">
        <v>2017</v>
      </c>
      <c r="R1081" s="73"/>
      <c r="S1081" s="402" t="s">
        <v>6357</v>
      </c>
      <c r="T1081">
        <v>5.5</v>
      </c>
      <c r="U1081" s="472" t="s">
        <v>3919</v>
      </c>
      <c r="V1081" s="135"/>
      <c r="W1081" s="472" t="s">
        <v>3919</v>
      </c>
      <c r="X1081" s="1"/>
      <c r="Z1081" s="1" t="s">
        <v>6354</v>
      </c>
      <c r="AB1081" s="295" t="s">
        <v>0</v>
      </c>
      <c r="AE1081" t="s">
        <v>6816</v>
      </c>
    </row>
    <row r="1082" spans="1:31" x14ac:dyDescent="0.35">
      <c r="A1082" s="547" t="s">
        <v>7234</v>
      </c>
      <c r="C1082" s="351" t="s">
        <v>3063</v>
      </c>
      <c r="D1082" t="s">
        <v>7023</v>
      </c>
      <c r="F1082" s="8">
        <v>0.86</v>
      </c>
      <c r="G1082">
        <v>5</v>
      </c>
      <c r="H1082" s="314" t="s">
        <v>7073</v>
      </c>
      <c r="I1082" s="313" t="s">
        <v>3919</v>
      </c>
      <c r="J1082" s="420" t="s">
        <v>7026</v>
      </c>
      <c r="K1082" s="696" t="s">
        <v>7027</v>
      </c>
      <c r="L1082">
        <v>3</v>
      </c>
      <c r="M1082" s="12">
        <v>5</v>
      </c>
      <c r="N1082">
        <v>1.5</v>
      </c>
      <c r="O1082" s="295" t="s">
        <v>7531</v>
      </c>
      <c r="Q1082">
        <v>2011</v>
      </c>
      <c r="R1082" s="73">
        <v>1</v>
      </c>
      <c r="S1082">
        <v>180</v>
      </c>
      <c r="T1082">
        <v>5.5</v>
      </c>
      <c r="U1082" s="472" t="s">
        <v>7029</v>
      </c>
      <c r="V1082" s="135"/>
      <c r="W1082" s="472" t="s">
        <v>7028</v>
      </c>
      <c r="X1082" s="1"/>
      <c r="Z1082" s="1" t="s">
        <v>7025</v>
      </c>
      <c r="AB1082" s="295" t="s">
        <v>7031</v>
      </c>
      <c r="AC1082" t="s">
        <v>7030</v>
      </c>
      <c r="AE1082" t="s">
        <v>7054</v>
      </c>
    </row>
    <row r="1083" spans="1:31" x14ac:dyDescent="0.35">
      <c r="A1083" s="302"/>
      <c r="B1083" s="302"/>
      <c r="C1083" s="351"/>
      <c r="F1083" s="8"/>
      <c r="H1083" s="314"/>
      <c r="J1083" s="12"/>
      <c r="K1083" s="444"/>
      <c r="O1083" s="295"/>
      <c r="R1083" s="73"/>
      <c r="S1083" s="402"/>
      <c r="U1083" s="472"/>
      <c r="V1083" s="135"/>
      <c r="W1083" s="472"/>
      <c r="X1083" s="1"/>
      <c r="Z1083" s="1"/>
      <c r="AB1083" s="295"/>
    </row>
    <row r="1084" spans="1:31" x14ac:dyDescent="0.35">
      <c r="B1084" s="302"/>
      <c r="D1084" t="s">
        <v>6326</v>
      </c>
      <c r="F1084" s="8">
        <v>0.48</v>
      </c>
      <c r="G1084">
        <v>4</v>
      </c>
      <c r="H1084" s="314" t="s">
        <v>5605</v>
      </c>
      <c r="I1084" s="311" t="s">
        <v>3044</v>
      </c>
      <c r="J1084" s="12">
        <v>7.5</v>
      </c>
      <c r="K1084" s="443">
        <v>2</v>
      </c>
      <c r="L1084">
        <v>20</v>
      </c>
      <c r="M1084" s="311" t="s">
        <v>3043</v>
      </c>
      <c r="N1084">
        <v>10</v>
      </c>
      <c r="O1084" s="295" t="s">
        <v>7530</v>
      </c>
      <c r="R1084" s="73" t="s">
        <v>3042</v>
      </c>
      <c r="S1084" s="402">
        <v>800</v>
      </c>
      <c r="T1084">
        <v>5.5</v>
      </c>
      <c r="U1084" s="472" t="s">
        <v>3047</v>
      </c>
      <c r="V1084" s="135"/>
      <c r="W1084" s="472" t="s">
        <v>3040</v>
      </c>
      <c r="X1084" s="1"/>
      <c r="Z1084" s="1" t="s">
        <v>3039</v>
      </c>
      <c r="AB1084" s="295" t="s">
        <v>0</v>
      </c>
      <c r="AD1084" t="s">
        <v>0</v>
      </c>
    </row>
    <row r="1085" spans="1:31" x14ac:dyDescent="0.35">
      <c r="D1085" t="s">
        <v>6329</v>
      </c>
      <c r="F1085" s="8">
        <v>0.56000000000000005</v>
      </c>
      <c r="G1085">
        <v>4</v>
      </c>
      <c r="H1085" s="314" t="s">
        <v>5778</v>
      </c>
      <c r="I1085" s="311" t="s">
        <v>0</v>
      </c>
      <c r="J1085" s="12">
        <v>2.4</v>
      </c>
      <c r="K1085" s="444" t="s">
        <v>7024</v>
      </c>
      <c r="L1085">
        <v>0.2</v>
      </c>
      <c r="M1085" s="311" t="s">
        <v>3043</v>
      </c>
      <c r="N1085">
        <v>0.12</v>
      </c>
      <c r="O1085" s="295" t="s">
        <v>7529</v>
      </c>
      <c r="Q1085">
        <v>2013</v>
      </c>
      <c r="R1085" s="73">
        <v>1</v>
      </c>
      <c r="S1085">
        <v>60</v>
      </c>
      <c r="T1085">
        <v>18</v>
      </c>
      <c r="U1085" s="472" t="s">
        <v>5622</v>
      </c>
      <c r="V1085" s="135"/>
      <c r="W1085" s="472" t="s">
        <v>3789</v>
      </c>
      <c r="X1085" s="1"/>
      <c r="Z1085" s="1" t="s">
        <v>5621</v>
      </c>
      <c r="AB1085" s="295" t="s">
        <v>0</v>
      </c>
      <c r="AC1085" t="s">
        <v>5706</v>
      </c>
    </row>
    <row r="1086" spans="1:31" x14ac:dyDescent="0.35">
      <c r="H1086" s="314"/>
      <c r="J1086" s="135"/>
      <c r="K1086" s="155"/>
      <c r="L1086" s="155"/>
      <c r="M1086" s="155"/>
      <c r="N1086" s="1"/>
      <c r="O1086" s="155"/>
      <c r="P1086" s="1"/>
      <c r="T1086" s="73"/>
      <c r="U1086" s="473"/>
      <c r="V1086" s="135"/>
      <c r="W1086" s="472"/>
      <c r="X1086" s="1"/>
      <c r="AB1086" s="295"/>
    </row>
    <row r="1087" spans="1:31" x14ac:dyDescent="0.35">
      <c r="B1087" s="302"/>
      <c r="D1087" s="690" t="s">
        <v>3766</v>
      </c>
      <c r="F1087" s="8"/>
      <c r="G1087" s="89"/>
      <c r="H1087" s="314"/>
      <c r="I1087" s="311"/>
      <c r="J1087" s="12"/>
      <c r="K1087" s="443"/>
      <c r="M1087" s="311"/>
      <c r="O1087" s="295"/>
      <c r="S1087" s="95"/>
      <c r="U1087" s="762"/>
      <c r="V1087" s="135"/>
      <c r="W1087" s="472"/>
      <c r="X1087" s="1"/>
      <c r="Z1087" s="1"/>
      <c r="AB1087" s="295"/>
    </row>
    <row r="1088" spans="1:31" x14ac:dyDescent="0.35">
      <c r="D1088" t="s">
        <v>3045</v>
      </c>
      <c r="F1088" s="8">
        <v>0.55000000000000004</v>
      </c>
      <c r="G1088" s="89">
        <v>1</v>
      </c>
      <c r="H1088" s="314" t="s">
        <v>6545</v>
      </c>
      <c r="I1088" s="311" t="s">
        <v>3044</v>
      </c>
      <c r="J1088" s="12">
        <v>1.6</v>
      </c>
      <c r="K1088" s="443">
        <v>1</v>
      </c>
      <c r="L1088">
        <v>88</v>
      </c>
      <c r="M1088" s="810" t="s">
        <v>6552</v>
      </c>
      <c r="N1088">
        <v>28</v>
      </c>
      <c r="O1088" s="295" t="s">
        <v>9136</v>
      </c>
      <c r="Q1088">
        <v>2007</v>
      </c>
      <c r="S1088" s="402">
        <v>1650</v>
      </c>
      <c r="T1088">
        <v>5.5</v>
      </c>
      <c r="U1088" s="761" t="s">
        <v>9137</v>
      </c>
      <c r="V1088" s="135"/>
      <c r="W1088" s="472" t="s">
        <v>6546</v>
      </c>
      <c r="X1088" s="1"/>
      <c r="Z1088" s="1" t="s">
        <v>3048</v>
      </c>
      <c r="AB1088" s="295" t="s">
        <v>7033</v>
      </c>
      <c r="AC1088" t="s">
        <v>6548</v>
      </c>
    </row>
    <row r="1089" spans="1:31" x14ac:dyDescent="0.35">
      <c r="A1089" s="547" t="s">
        <v>6547</v>
      </c>
      <c r="B1089" s="302"/>
      <c r="C1089" s="351" t="s">
        <v>3063</v>
      </c>
      <c r="D1089" t="s">
        <v>6549</v>
      </c>
      <c r="F1089" s="8">
        <v>0.8</v>
      </c>
      <c r="G1089" s="398">
        <v>2</v>
      </c>
      <c r="H1089" s="669" t="s">
        <v>6550</v>
      </c>
      <c r="I1089" s="311"/>
      <c r="J1089" s="12"/>
      <c r="K1089" s="443"/>
      <c r="M1089" s="311"/>
      <c r="O1089" s="295" t="s">
        <v>3919</v>
      </c>
      <c r="S1089" s="402"/>
      <c r="U1089" s="761"/>
      <c r="V1089" s="135"/>
      <c r="W1089" s="472"/>
      <c r="X1089" s="1"/>
      <c r="Z1089" s="1"/>
      <c r="AB1089" s="295" t="s">
        <v>7700</v>
      </c>
      <c r="AC1089" t="s">
        <v>6551</v>
      </c>
    </row>
    <row r="1090" spans="1:31" x14ac:dyDescent="0.35">
      <c r="D1090" t="s">
        <v>3757</v>
      </c>
      <c r="F1090" s="8">
        <v>0.8</v>
      </c>
      <c r="G1090" s="89">
        <v>1</v>
      </c>
      <c r="H1090" s="314" t="s">
        <v>3758</v>
      </c>
      <c r="I1090" s="311"/>
      <c r="J1090" s="12">
        <v>2</v>
      </c>
      <c r="K1090" s="444" t="s">
        <v>3759</v>
      </c>
      <c r="L1090">
        <v>115</v>
      </c>
      <c r="M1090" s="295" t="s">
        <v>3760</v>
      </c>
      <c r="O1090" s="295"/>
      <c r="Q1090">
        <v>2007</v>
      </c>
      <c r="S1090" s="707" t="s">
        <v>9134</v>
      </c>
      <c r="U1090" s="761" t="s">
        <v>3753</v>
      </c>
      <c r="V1090" s="135"/>
      <c r="W1090" s="472" t="s">
        <v>3761</v>
      </c>
      <c r="X1090" s="1"/>
      <c r="Y1090" s="1"/>
      <c r="Z1090" s="1" t="s">
        <v>3756</v>
      </c>
      <c r="AB1090" s="295" t="s">
        <v>0</v>
      </c>
    </row>
    <row r="1091" spans="1:31" x14ac:dyDescent="0.35">
      <c r="B1091" s="302"/>
      <c r="D1091" t="s">
        <v>3749</v>
      </c>
      <c r="F1091" s="399" t="s">
        <v>3750</v>
      </c>
      <c r="G1091" s="89">
        <v>1</v>
      </c>
      <c r="H1091" s="314" t="s">
        <v>3751</v>
      </c>
      <c r="I1091" s="311"/>
      <c r="J1091" s="12">
        <v>0.27</v>
      </c>
      <c r="K1091" s="444" t="s">
        <v>6929</v>
      </c>
      <c r="L1091">
        <v>50</v>
      </c>
      <c r="M1091">
        <v>7.4999999999999997E-2</v>
      </c>
      <c r="N1091">
        <v>105</v>
      </c>
      <c r="O1091" s="295"/>
      <c r="Q1091">
        <v>2017</v>
      </c>
      <c r="S1091" s="402">
        <v>900</v>
      </c>
      <c r="T1091">
        <v>5.5</v>
      </c>
      <c r="U1091" s="761" t="s">
        <v>3753</v>
      </c>
      <c r="V1091" s="135"/>
      <c r="W1091" s="472" t="s">
        <v>3754</v>
      </c>
      <c r="X1091" s="1"/>
      <c r="Z1091" s="1" t="s">
        <v>3755</v>
      </c>
      <c r="AB1091" s="295" t="s">
        <v>0</v>
      </c>
    </row>
    <row r="1092" spans="1:31" x14ac:dyDescent="0.35">
      <c r="B1092" s="302"/>
      <c r="D1092" t="s">
        <v>3797</v>
      </c>
      <c r="F1092" s="8">
        <v>0.56999999999999995</v>
      </c>
      <c r="G1092" s="89">
        <v>1</v>
      </c>
      <c r="H1092" s="314" t="s">
        <v>3794</v>
      </c>
      <c r="I1092">
        <v>2</v>
      </c>
      <c r="J1092" s="12">
        <v>10</v>
      </c>
      <c r="K1092" s="444">
        <v>5</v>
      </c>
      <c r="L1092">
        <v>100</v>
      </c>
      <c r="M1092">
        <v>5</v>
      </c>
      <c r="N1092">
        <v>130</v>
      </c>
      <c r="O1092" s="295" t="s">
        <v>3795</v>
      </c>
      <c r="Q1092">
        <v>2016</v>
      </c>
      <c r="S1092" s="707" t="s">
        <v>9133</v>
      </c>
      <c r="T1092">
        <v>7.5</v>
      </c>
      <c r="U1092" s="472" t="s">
        <v>3046</v>
      </c>
      <c r="V1092" s="135"/>
      <c r="W1092" s="472" t="s">
        <v>3796</v>
      </c>
      <c r="X1092" s="1"/>
      <c r="Z1092" s="1" t="s">
        <v>3793</v>
      </c>
      <c r="AB1092" s="295" t="s">
        <v>0</v>
      </c>
    </row>
    <row r="1093" spans="1:31" x14ac:dyDescent="0.35">
      <c r="B1093" s="302"/>
      <c r="F1093" s="8"/>
      <c r="G1093" s="89"/>
      <c r="H1093" s="314"/>
      <c r="J1093" s="12"/>
      <c r="K1093" s="444"/>
      <c r="O1093" s="295"/>
      <c r="S1093" s="402"/>
      <c r="U1093" s="472"/>
      <c r="V1093" s="135"/>
      <c r="W1093" s="472"/>
      <c r="X1093" s="1"/>
      <c r="Z1093" s="1"/>
      <c r="AB1093" s="295"/>
    </row>
    <row r="1094" spans="1:31" x14ac:dyDescent="0.35">
      <c r="B1094" s="302"/>
      <c r="D1094" s="690" t="s">
        <v>7266</v>
      </c>
      <c r="F1094" s="8"/>
      <c r="G1094" s="89"/>
      <c r="H1094" s="314"/>
      <c r="J1094" s="12"/>
      <c r="K1094" s="444"/>
      <c r="L1094" s="706" t="s">
        <v>6930</v>
      </c>
      <c r="O1094" s="295"/>
      <c r="S1094" s="402"/>
      <c r="U1094" s="472"/>
      <c r="V1094" s="135"/>
      <c r="W1094" s="472"/>
      <c r="X1094" s="1"/>
      <c r="Z1094" s="1"/>
      <c r="AB1094" s="295"/>
    </row>
    <row r="1095" spans="1:31" x14ac:dyDescent="0.35">
      <c r="A1095" s="547" t="s">
        <v>5562</v>
      </c>
      <c r="B1095" s="302"/>
      <c r="C1095" s="351" t="s">
        <v>3063</v>
      </c>
      <c r="D1095" t="s">
        <v>7278</v>
      </c>
      <c r="F1095" s="315">
        <v>1.1200000000000001</v>
      </c>
      <c r="G1095" s="89">
        <v>1</v>
      </c>
      <c r="H1095" s="314" t="s">
        <v>6914</v>
      </c>
      <c r="I1095">
        <v>2</v>
      </c>
      <c r="J1095" s="12" t="s">
        <v>6913</v>
      </c>
      <c r="K1095" s="696" t="s">
        <v>6917</v>
      </c>
      <c r="L1095">
        <v>10</v>
      </c>
      <c r="M1095" s="313" t="s">
        <v>6918</v>
      </c>
      <c r="N1095">
        <v>5</v>
      </c>
      <c r="O1095" s="295" t="s">
        <v>6920</v>
      </c>
      <c r="Q1095">
        <v>2016</v>
      </c>
      <c r="S1095" s="707" t="s">
        <v>6931</v>
      </c>
      <c r="T1095">
        <v>5.5</v>
      </c>
      <c r="U1095" s="472" t="s">
        <v>6932</v>
      </c>
      <c r="V1095" s="135"/>
      <c r="W1095" s="472" t="s">
        <v>6919</v>
      </c>
      <c r="X1095" s="1"/>
      <c r="Z1095" s="1" t="s">
        <v>6912</v>
      </c>
      <c r="AB1095" s="295" t="s">
        <v>7496</v>
      </c>
      <c r="AD1095" t="s">
        <v>0</v>
      </c>
      <c r="AE1095" t="s">
        <v>6921</v>
      </c>
    </row>
    <row r="1096" spans="1:31" x14ac:dyDescent="0.35">
      <c r="B1096" s="302"/>
      <c r="D1096" t="s">
        <v>6923</v>
      </c>
      <c r="F1096" s="315">
        <v>0.74</v>
      </c>
      <c r="G1096" s="89">
        <v>1</v>
      </c>
      <c r="H1096" s="314" t="s">
        <v>6928</v>
      </c>
      <c r="I1096">
        <v>2</v>
      </c>
      <c r="J1096" s="12" t="s">
        <v>6927</v>
      </c>
      <c r="K1096" s="443">
        <v>1</v>
      </c>
      <c r="L1096">
        <v>50</v>
      </c>
      <c r="M1096">
        <v>0.1</v>
      </c>
      <c r="N1096">
        <v>25</v>
      </c>
      <c r="O1096" s="295" t="s">
        <v>6924</v>
      </c>
      <c r="Q1096">
        <v>2006</v>
      </c>
      <c r="S1096" s="707" t="s">
        <v>6926</v>
      </c>
      <c r="T1096">
        <v>5.5</v>
      </c>
      <c r="U1096" s="472" t="s">
        <v>3046</v>
      </c>
      <c r="V1096" s="135"/>
      <c r="W1096" s="472" t="s">
        <v>6925</v>
      </c>
      <c r="X1096" s="1"/>
      <c r="Z1096" s="1" t="s">
        <v>6922</v>
      </c>
      <c r="AB1096" s="295" t="s">
        <v>0</v>
      </c>
    </row>
    <row r="1097" spans="1:31" x14ac:dyDescent="0.35">
      <c r="B1097" s="302"/>
      <c r="F1097" s="315"/>
      <c r="G1097" s="89"/>
      <c r="H1097" s="314"/>
      <c r="J1097" s="12"/>
      <c r="K1097" s="443"/>
      <c r="O1097" s="295"/>
      <c r="S1097" s="707"/>
      <c r="U1097" s="472"/>
      <c r="V1097" s="135"/>
      <c r="W1097" s="472"/>
      <c r="X1097" s="1"/>
      <c r="Z1097" s="1"/>
      <c r="AB1097" s="295"/>
    </row>
    <row r="1098" spans="1:31" x14ac:dyDescent="0.35">
      <c r="D1098" s="690" t="s">
        <v>4456</v>
      </c>
      <c r="F1098" s="399"/>
      <c r="G1098" s="89"/>
      <c r="H1098" s="314"/>
      <c r="I1098" s="311"/>
      <c r="J1098" s="12"/>
      <c r="K1098" s="444"/>
      <c r="O1098" s="295"/>
      <c r="S1098" s="402"/>
      <c r="U1098" s="761"/>
      <c r="V1098" s="135"/>
      <c r="W1098" s="472"/>
      <c r="X1098" s="1"/>
      <c r="Z1098" s="1"/>
      <c r="AB1098" s="295"/>
    </row>
    <row r="1099" spans="1:31" x14ac:dyDescent="0.35">
      <c r="B1099" s="302"/>
      <c r="D1099" t="s">
        <v>3781</v>
      </c>
      <c r="F1099" s="8">
        <v>0.2</v>
      </c>
      <c r="G1099" s="89">
        <v>1</v>
      </c>
      <c r="H1099" s="314" t="s">
        <v>3782</v>
      </c>
      <c r="I1099" s="311"/>
      <c r="J1099" s="12">
        <v>0.5</v>
      </c>
      <c r="K1099" s="444"/>
      <c r="L1099">
        <v>0.35</v>
      </c>
      <c r="N1099">
        <v>2</v>
      </c>
      <c r="O1099" s="295"/>
      <c r="S1099">
        <v>300</v>
      </c>
      <c r="T1099">
        <v>5.5</v>
      </c>
      <c r="U1099" s="761" t="s">
        <v>3783</v>
      </c>
      <c r="V1099" s="135"/>
      <c r="W1099" s="472" t="s">
        <v>3784</v>
      </c>
      <c r="X1099" s="1"/>
      <c r="Z1099" s="1" t="s">
        <v>3780</v>
      </c>
      <c r="AB1099" s="295" t="s">
        <v>0</v>
      </c>
    </row>
    <row r="1100" spans="1:31" x14ac:dyDescent="0.35">
      <c r="B1100" s="302"/>
      <c r="D1100" t="s">
        <v>9084</v>
      </c>
      <c r="F1100" s="336">
        <v>1.19</v>
      </c>
      <c r="G1100" s="89">
        <v>1</v>
      </c>
      <c r="H1100" s="314"/>
      <c r="I1100" s="311"/>
      <c r="J1100" s="12">
        <v>0.15</v>
      </c>
      <c r="K1100" s="444">
        <v>2</v>
      </c>
      <c r="L1100" s="13">
        <v>90</v>
      </c>
      <c r="O1100" s="295"/>
      <c r="U1100" s="761"/>
      <c r="V1100" s="135"/>
      <c r="W1100" s="472"/>
      <c r="X1100" s="1"/>
      <c r="Z1100" s="1" t="s">
        <v>9083</v>
      </c>
      <c r="AB1100" s="295"/>
    </row>
    <row r="1101" spans="1:31" x14ac:dyDescent="0.35">
      <c r="B1101" s="302"/>
      <c r="F1101" s="8"/>
      <c r="G1101" s="89"/>
      <c r="H1101" s="314"/>
      <c r="I1101" s="311"/>
      <c r="J1101" s="12"/>
      <c r="K1101" s="444"/>
      <c r="O1101" s="295"/>
      <c r="U1101" s="761"/>
      <c r="V1101" s="135"/>
      <c r="W1101" s="472"/>
      <c r="X1101" s="1"/>
      <c r="Z1101" s="1"/>
      <c r="AB1101" s="295"/>
    </row>
    <row r="1102" spans="1:31" x14ac:dyDescent="0.35">
      <c r="B1102" s="302"/>
      <c r="D1102" s="690" t="s">
        <v>4454</v>
      </c>
      <c r="F1102" s="8"/>
      <c r="G1102" s="89"/>
      <c r="H1102" s="314"/>
      <c r="I1102" s="311"/>
      <c r="J1102" s="12"/>
      <c r="K1102" s="444"/>
      <c r="O1102" s="295"/>
      <c r="U1102" s="761"/>
      <c r="V1102" s="135"/>
      <c r="W1102" s="472"/>
      <c r="X1102" s="1"/>
      <c r="Z1102" s="1"/>
      <c r="AB1102" s="295"/>
    </row>
    <row r="1103" spans="1:31" x14ac:dyDescent="0.35">
      <c r="B1103" s="302"/>
      <c r="D1103" t="s">
        <v>4438</v>
      </c>
      <c r="F1103" s="8">
        <v>0.6</v>
      </c>
      <c r="G1103" s="89">
        <v>1</v>
      </c>
      <c r="H1103" s="314"/>
      <c r="I1103" s="311"/>
      <c r="J1103" s="12">
        <v>9</v>
      </c>
      <c r="K1103" s="444" t="s">
        <v>4439</v>
      </c>
      <c r="O1103" s="295"/>
      <c r="Q1103">
        <v>2001</v>
      </c>
      <c r="U1103" s="761"/>
      <c r="V1103" s="135"/>
      <c r="W1103" s="472"/>
      <c r="X1103" s="1"/>
      <c r="Z1103" s="1" t="s">
        <v>4437</v>
      </c>
      <c r="AB1103" s="295" t="s">
        <v>0</v>
      </c>
    </row>
    <row r="1104" spans="1:31" x14ac:dyDescent="0.35">
      <c r="B1104" s="302"/>
      <c r="D1104" s="295" t="s">
        <v>4442</v>
      </c>
      <c r="F1104" s="8">
        <v>1.02</v>
      </c>
      <c r="G1104" s="89">
        <v>1</v>
      </c>
      <c r="H1104" s="314" t="s">
        <v>4444</v>
      </c>
      <c r="I1104">
        <v>6</v>
      </c>
      <c r="J1104" s="12">
        <v>0.35</v>
      </c>
      <c r="K1104" s="445" t="s">
        <v>4441</v>
      </c>
      <c r="L1104">
        <v>35</v>
      </c>
      <c r="M1104" s="89">
        <v>10</v>
      </c>
      <c r="N1104">
        <v>6</v>
      </c>
      <c r="O1104" s="295">
        <v>88</v>
      </c>
      <c r="Q1104">
        <v>2011</v>
      </c>
      <c r="S1104" s="402">
        <v>800</v>
      </c>
      <c r="T1104">
        <v>5.5</v>
      </c>
      <c r="U1104" s="761" t="s">
        <v>4445</v>
      </c>
      <c r="V1104" s="135"/>
      <c r="W1104" s="472" t="s">
        <v>4443</v>
      </c>
      <c r="X1104" s="1"/>
      <c r="Z1104" s="1" t="s">
        <v>4440</v>
      </c>
      <c r="AB1104" s="295" t="s">
        <v>0</v>
      </c>
    </row>
    <row r="1105" spans="1:33" x14ac:dyDescent="0.35">
      <c r="B1105" s="302"/>
      <c r="D1105" t="s">
        <v>4450</v>
      </c>
      <c r="F1105" s="8">
        <v>1.2</v>
      </c>
      <c r="G1105" s="89">
        <v>1</v>
      </c>
      <c r="H1105" s="314" t="s">
        <v>4451</v>
      </c>
      <c r="I1105">
        <v>6</v>
      </c>
      <c r="J1105" s="12">
        <v>0.15</v>
      </c>
      <c r="K1105" s="444" t="s">
        <v>4448</v>
      </c>
      <c r="L1105">
        <v>20</v>
      </c>
      <c r="M1105" s="416" t="s">
        <v>2329</v>
      </c>
      <c r="N1105">
        <v>1</v>
      </c>
      <c r="O1105" s="295">
        <v>105</v>
      </c>
      <c r="Q1105">
        <v>2011</v>
      </c>
      <c r="S1105">
        <v>300</v>
      </c>
      <c r="T1105" s="446" t="s">
        <v>4453</v>
      </c>
      <c r="U1105" s="761" t="s">
        <v>4449</v>
      </c>
      <c r="V1105" s="135"/>
      <c r="W1105" s="472" t="s">
        <v>4452</v>
      </c>
      <c r="X1105" s="1"/>
      <c r="Z1105" s="1" t="s">
        <v>4447</v>
      </c>
      <c r="AB1105" s="295" t="s">
        <v>0</v>
      </c>
    </row>
    <row r="1106" spans="1:33" x14ac:dyDescent="0.35">
      <c r="B1106" s="302"/>
      <c r="F1106" s="8"/>
      <c r="G1106" s="89"/>
      <c r="H1106" s="314"/>
      <c r="I1106" s="311"/>
      <c r="J1106" s="12"/>
      <c r="K1106" s="444"/>
      <c r="O1106" s="295"/>
      <c r="U1106" s="761"/>
      <c r="V1106" s="135"/>
      <c r="W1106" s="472"/>
      <c r="X1106" s="1"/>
      <c r="Z1106" s="1"/>
      <c r="AB1106" s="295"/>
    </row>
    <row r="1107" spans="1:33" x14ac:dyDescent="0.35">
      <c r="B1107" s="302"/>
      <c r="D1107" s="690" t="s">
        <v>3785</v>
      </c>
      <c r="F1107" s="8"/>
      <c r="G1107" s="89"/>
      <c r="H1107" s="314"/>
      <c r="I1107" s="311"/>
      <c r="J1107" s="12"/>
      <c r="K1107" s="444"/>
      <c r="O1107" s="295"/>
      <c r="U1107" s="761"/>
      <c r="V1107" s="135"/>
      <c r="W1107" s="472"/>
      <c r="X1107" s="1"/>
      <c r="Z1107" s="1"/>
      <c r="AB1107" s="295"/>
    </row>
    <row r="1108" spans="1:33" x14ac:dyDescent="0.35">
      <c r="B1108" s="302"/>
      <c r="D1108" t="s">
        <v>3787</v>
      </c>
      <c r="F1108" s="8">
        <v>0.17</v>
      </c>
      <c r="G1108" s="89">
        <v>1</v>
      </c>
      <c r="H1108" s="314" t="s">
        <v>3752</v>
      </c>
      <c r="J1108" s="696" t="s">
        <v>3790</v>
      </c>
      <c r="K1108" s="443">
        <v>0.25</v>
      </c>
      <c r="L1108" s="73" t="s">
        <v>3788</v>
      </c>
      <c r="N1108">
        <v>0.16</v>
      </c>
      <c r="O1108" s="295"/>
      <c r="S1108">
        <v>35</v>
      </c>
      <c r="T1108">
        <v>5.5</v>
      </c>
      <c r="U1108" s="472" t="s">
        <v>4446</v>
      </c>
      <c r="V1108" s="135"/>
      <c r="W1108" s="472" t="s">
        <v>3789</v>
      </c>
      <c r="X1108" s="1"/>
      <c r="Z1108" s="1" t="s">
        <v>3786</v>
      </c>
      <c r="AB1108" s="295" t="s">
        <v>0</v>
      </c>
    </row>
    <row r="1109" spans="1:33" x14ac:dyDescent="0.35">
      <c r="A1109" s="547" t="s">
        <v>5562</v>
      </c>
      <c r="B1109" s="302"/>
      <c r="C1109" s="351" t="s">
        <v>3063</v>
      </c>
      <c r="D1109" t="s">
        <v>7235</v>
      </c>
      <c r="F1109" s="8">
        <v>1.1200000000000001</v>
      </c>
      <c r="G1109">
        <v>4</v>
      </c>
      <c r="H1109" s="314" t="s">
        <v>7192</v>
      </c>
      <c r="I1109">
        <v>4</v>
      </c>
      <c r="J1109" s="696" t="s">
        <v>7118</v>
      </c>
      <c r="K1109" s="444" t="s">
        <v>7237</v>
      </c>
      <c r="L1109" s="73" t="s">
        <v>7236</v>
      </c>
      <c r="M1109">
        <v>100</v>
      </c>
      <c r="N1109">
        <v>0.16</v>
      </c>
      <c r="O1109" s="295" t="s">
        <v>7238</v>
      </c>
      <c r="Q1109">
        <v>2015</v>
      </c>
      <c r="S1109">
        <v>28</v>
      </c>
      <c r="T1109">
        <v>7</v>
      </c>
      <c r="U1109" s="472" t="s">
        <v>4446</v>
      </c>
      <c r="V1109" s="135"/>
      <c r="W1109" s="472" t="s">
        <v>7239</v>
      </c>
      <c r="X1109" s="1"/>
      <c r="Z1109" s="1" t="s">
        <v>7055</v>
      </c>
      <c r="AB1109" s="295" t="s">
        <v>8100</v>
      </c>
    </row>
    <row r="1110" spans="1:33" x14ac:dyDescent="0.35">
      <c r="B1110" s="302"/>
      <c r="AB1110" s="295"/>
    </row>
    <row r="1111" spans="1:33" x14ac:dyDescent="0.35">
      <c r="B1111" s="302"/>
      <c r="D1111" s="690" t="s">
        <v>5809</v>
      </c>
      <c r="E1111" s="556" t="s">
        <v>5807</v>
      </c>
      <c r="H1111" s="481"/>
      <c r="AB1111" s="295"/>
    </row>
    <row r="1112" spans="1:33" x14ac:dyDescent="0.35">
      <c r="B1112" s="302"/>
      <c r="E1112" s="552" t="s">
        <v>5808</v>
      </c>
      <c r="G1112" s="1" t="s">
        <v>4513</v>
      </c>
      <c r="H1112" s="481"/>
    </row>
    <row r="1113" spans="1:33" x14ac:dyDescent="0.35">
      <c r="B1113" s="302"/>
      <c r="E1113" s="128"/>
      <c r="G1113" s="1"/>
      <c r="H1113" s="481"/>
    </row>
    <row r="1114" spans="1:33" x14ac:dyDescent="0.35">
      <c r="B1114" s="83" t="s">
        <v>2998</v>
      </c>
      <c r="G1114" s="8"/>
      <c r="P1114" s="295"/>
      <c r="S1114" s="295"/>
      <c r="U1114" s="295"/>
      <c r="X1114" s="1"/>
    </row>
    <row r="1115" spans="1:33" ht="37.5" x14ac:dyDescent="0.35">
      <c r="D1115" s="123" t="s">
        <v>2956</v>
      </c>
      <c r="E1115" s="4"/>
      <c r="F1115" s="123" t="s">
        <v>2975</v>
      </c>
      <c r="G1115" s="123" t="s">
        <v>3003</v>
      </c>
      <c r="H1115" s="123" t="s">
        <v>5567</v>
      </c>
      <c r="I1115" s="123" t="s">
        <v>7500</v>
      </c>
      <c r="J1115" s="123" t="s">
        <v>7501</v>
      </c>
      <c r="K1115" s="123" t="s">
        <v>7579</v>
      </c>
      <c r="L1115" s="123" t="s">
        <v>3290</v>
      </c>
      <c r="M1115" s="4"/>
      <c r="N1115" s="4"/>
      <c r="O1115" s="123" t="s">
        <v>4463</v>
      </c>
      <c r="P1115" s="123" t="s">
        <v>6398</v>
      </c>
      <c r="Q1115" s="4"/>
      <c r="R1115" s="123" t="s">
        <v>6397</v>
      </c>
      <c r="S1115" s="4"/>
      <c r="T1115" s="123" t="s">
        <v>6396</v>
      </c>
      <c r="V1115" s="123" t="s">
        <v>2970</v>
      </c>
      <c r="W1115" s="123" t="s">
        <v>7680</v>
      </c>
      <c r="X1115" s="4"/>
      <c r="Y1115" s="123" t="s">
        <v>2076</v>
      </c>
      <c r="Z1115" s="123" t="s">
        <v>2961</v>
      </c>
      <c r="AB1115" s="123" t="s">
        <v>4228</v>
      </c>
    </row>
    <row r="1116" spans="1:33" x14ac:dyDescent="0.35">
      <c r="C1116" s="351" t="s">
        <v>3063</v>
      </c>
      <c r="D1116" t="s">
        <v>3000</v>
      </c>
      <c r="F1116" s="8">
        <v>0.35</v>
      </c>
      <c r="G1116" s="303" t="s">
        <v>3002</v>
      </c>
      <c r="H1116" s="394" t="s">
        <v>6523</v>
      </c>
      <c r="I1116" s="15">
        <v>8</v>
      </c>
      <c r="K1116" s="295" t="s">
        <v>7683</v>
      </c>
      <c r="L1116" t="s">
        <v>3297</v>
      </c>
      <c r="P1116" s="295" t="s">
        <v>6493</v>
      </c>
      <c r="R1116" s="472" t="s">
        <v>6494</v>
      </c>
      <c r="S1116" s="472"/>
      <c r="T1116" s="472" t="s">
        <v>6495</v>
      </c>
      <c r="V1116" s="135" t="s">
        <v>8959</v>
      </c>
      <c r="W1116" s="295" t="s">
        <v>8895</v>
      </c>
      <c r="Y1116">
        <v>2015</v>
      </c>
      <c r="Z1116" s="1" t="s">
        <v>2999</v>
      </c>
      <c r="AB1116" t="s">
        <v>8887</v>
      </c>
      <c r="AC1116" t="s">
        <v>6544</v>
      </c>
    </row>
    <row r="1117" spans="1:33" x14ac:dyDescent="0.35">
      <c r="C1117" s="351"/>
      <c r="D1117" t="s">
        <v>9099</v>
      </c>
      <c r="G1117" s="303" t="s">
        <v>4527</v>
      </c>
      <c r="H1117" s="394" t="s">
        <v>8955</v>
      </c>
      <c r="I1117" s="15"/>
      <c r="K1117" s="295"/>
      <c r="P1117" s="295"/>
      <c r="R1117" s="472"/>
      <c r="S1117" s="472"/>
      <c r="T1117" s="472"/>
      <c r="V1117" s="135"/>
      <c r="W1117" s="295"/>
      <c r="Z1117" s="1"/>
    </row>
    <row r="1118" spans="1:33" x14ac:dyDescent="0.35">
      <c r="C1118" s="351"/>
      <c r="D1118" t="s">
        <v>9098</v>
      </c>
      <c r="F1118" s="8"/>
      <c r="G1118" s="303" t="s">
        <v>7727</v>
      </c>
      <c r="H1118" s="394" t="s">
        <v>8955</v>
      </c>
      <c r="I1118" s="15"/>
      <c r="K1118" s="295"/>
      <c r="P1118" s="295"/>
      <c r="R1118" s="472"/>
      <c r="S1118" s="472"/>
      <c r="T1118" s="472"/>
      <c r="V1118" s="135"/>
      <c r="W1118" s="295"/>
      <c r="Z1118" s="1"/>
    </row>
    <row r="1119" spans="1:33" x14ac:dyDescent="0.35">
      <c r="C1119" s="351"/>
      <c r="F1119" s="8"/>
      <c r="G1119" s="303"/>
      <c r="H1119" s="394"/>
      <c r="I1119" s="15"/>
      <c r="K1119" s="295"/>
      <c r="P1119" s="295"/>
      <c r="R1119" s="472"/>
      <c r="S1119" s="472"/>
      <c r="T1119" s="472"/>
      <c r="V1119" s="135"/>
      <c r="W1119" s="295"/>
      <c r="Z1119" s="1"/>
    </row>
    <row r="1120" spans="1:33" x14ac:dyDescent="0.35">
      <c r="C1120" s="351" t="s">
        <v>3063</v>
      </c>
      <c r="D1120" t="s">
        <v>7724</v>
      </c>
      <c r="F1120" s="8">
        <v>0.11</v>
      </c>
      <c r="G1120" s="303" t="s">
        <v>4165</v>
      </c>
      <c r="H1120" s="394" t="s">
        <v>8960</v>
      </c>
      <c r="I1120" s="15">
        <v>10</v>
      </c>
      <c r="J1120" s="15">
        <v>20</v>
      </c>
      <c r="K1120" s="295" t="s">
        <v>7683</v>
      </c>
      <c r="L1120" t="s">
        <v>7725</v>
      </c>
      <c r="P1120" s="295" t="s">
        <v>3247</v>
      </c>
      <c r="R1120" s="472" t="s">
        <v>7318</v>
      </c>
      <c r="S1120" s="472"/>
      <c r="T1120" s="472" t="s">
        <v>7319</v>
      </c>
      <c r="V1120" s="135" t="s">
        <v>8963</v>
      </c>
      <c r="W1120" s="295" t="s">
        <v>8962</v>
      </c>
      <c r="Z1120" s="1" t="s">
        <v>7723</v>
      </c>
      <c r="AB1120" t="s">
        <v>8888</v>
      </c>
      <c r="AC1120" t="s">
        <v>1995</v>
      </c>
      <c r="AD1120" s="1" t="s">
        <v>4166</v>
      </c>
      <c r="AF1120" t="s">
        <v>0</v>
      </c>
      <c r="AG1120" t="s">
        <v>6972</v>
      </c>
    </row>
    <row r="1121" spans="2:33" x14ac:dyDescent="0.35">
      <c r="D1121" s="177" t="s">
        <v>8891</v>
      </c>
      <c r="F1121" s="8">
        <v>0.13</v>
      </c>
      <c r="G1121" s="303" t="s">
        <v>4165</v>
      </c>
      <c r="H1121" s="394" t="s">
        <v>8961</v>
      </c>
      <c r="I1121" s="15">
        <v>8</v>
      </c>
      <c r="K1121" s="295" t="s">
        <v>8892</v>
      </c>
      <c r="L1121" t="s">
        <v>7725</v>
      </c>
      <c r="P1121" s="295" t="s">
        <v>8893</v>
      </c>
      <c r="R1121" s="135"/>
      <c r="S1121" s="472"/>
      <c r="T1121" s="295" t="s">
        <v>8894</v>
      </c>
      <c r="V1121" s="135" t="s">
        <v>8963</v>
      </c>
      <c r="W1121" s="295" t="s">
        <v>8962</v>
      </c>
      <c r="Y1121">
        <v>2008</v>
      </c>
      <c r="Z1121" s="1" t="s">
        <v>8896</v>
      </c>
      <c r="AB1121" t="s">
        <v>0</v>
      </c>
      <c r="AC1121" t="s">
        <v>8897</v>
      </c>
    </row>
    <row r="1122" spans="2:33" x14ac:dyDescent="0.35">
      <c r="D1122" s="177" t="s">
        <v>9117</v>
      </c>
      <c r="F1122" s="8">
        <v>7.0000000000000007E-2</v>
      </c>
      <c r="G1122" s="303" t="s">
        <v>4165</v>
      </c>
      <c r="H1122" s="394" t="s">
        <v>9118</v>
      </c>
      <c r="I1122" s="15"/>
      <c r="K1122" s="295"/>
      <c r="P1122" s="295"/>
      <c r="R1122" s="135"/>
      <c r="S1122" s="472"/>
      <c r="T1122" s="295"/>
      <c r="V1122" s="135"/>
      <c r="W1122" s="295"/>
      <c r="Z1122" s="1" t="s">
        <v>9116</v>
      </c>
      <c r="AB1122" t="s">
        <v>0</v>
      </c>
    </row>
    <row r="1123" spans="2:33" x14ac:dyDescent="0.35">
      <c r="D1123" s="177" t="s">
        <v>9120</v>
      </c>
      <c r="F1123" s="8"/>
      <c r="G1123" s="303" t="s">
        <v>4165</v>
      </c>
      <c r="H1123" s="394" t="s">
        <v>9121</v>
      </c>
      <c r="I1123" s="15"/>
      <c r="K1123" s="295"/>
      <c r="P1123" s="295"/>
      <c r="R1123" s="135"/>
      <c r="S1123" s="472"/>
      <c r="T1123" s="295"/>
      <c r="V1123" s="135"/>
      <c r="W1123" s="295"/>
      <c r="Z1123" s="1" t="s">
        <v>9119</v>
      </c>
      <c r="AB1123" t="s">
        <v>0</v>
      </c>
    </row>
    <row r="1124" spans="2:33" x14ac:dyDescent="0.35">
      <c r="D1124" s="177"/>
      <c r="F1124" s="8"/>
      <c r="G1124" s="303"/>
      <c r="H1124" s="394"/>
      <c r="I1124" s="15"/>
      <c r="K1124" s="295"/>
      <c r="P1124" s="295"/>
      <c r="R1124" s="135"/>
      <c r="S1124" s="472"/>
      <c r="T1124" s="295"/>
      <c r="V1124" s="135"/>
      <c r="W1124" s="295"/>
      <c r="Z1124" s="1"/>
    </row>
    <row r="1125" spans="2:33" x14ac:dyDescent="0.35">
      <c r="C1125" s="351" t="s">
        <v>3063</v>
      </c>
      <c r="D1125" s="177" t="s">
        <v>9103</v>
      </c>
      <c r="F1125" s="8">
        <v>0.14000000000000001</v>
      </c>
      <c r="G1125" s="303" t="s">
        <v>3002</v>
      </c>
      <c r="H1125" s="394" t="s">
        <v>9107</v>
      </c>
      <c r="I1125" s="15"/>
      <c r="K1125" s="295" t="s">
        <v>9108</v>
      </c>
      <c r="L1125" t="s">
        <v>3297</v>
      </c>
      <c r="P1125" s="295" t="s">
        <v>9106</v>
      </c>
      <c r="R1125" s="472" t="s">
        <v>7156</v>
      </c>
      <c r="S1125" s="472"/>
      <c r="T1125" s="295"/>
      <c r="V1125" s="135" t="s">
        <v>9110</v>
      </c>
      <c r="W1125" s="295" t="s">
        <v>9109</v>
      </c>
      <c r="Z1125" s="1" t="s">
        <v>9104</v>
      </c>
      <c r="AB1125" t="s">
        <v>0</v>
      </c>
      <c r="AC1125" t="s">
        <v>9122</v>
      </c>
    </row>
    <row r="1126" spans="2:33" x14ac:dyDescent="0.35">
      <c r="C1126" s="351" t="s">
        <v>3063</v>
      </c>
      <c r="D1126" s="177" t="s">
        <v>9105</v>
      </c>
      <c r="F1126" s="8">
        <v>0.14000000000000001</v>
      </c>
      <c r="G1126" s="303" t="s">
        <v>4527</v>
      </c>
      <c r="H1126" s="394" t="s">
        <v>122</v>
      </c>
      <c r="I1126" s="15"/>
      <c r="K1126" s="295"/>
      <c r="P1126" s="295"/>
      <c r="R1126" s="135"/>
      <c r="S1126" s="472"/>
      <c r="T1126" s="295"/>
      <c r="V1126" s="135"/>
      <c r="W1126" s="295"/>
      <c r="Z1126" s="1"/>
      <c r="AC1126" t="s">
        <v>9123</v>
      </c>
    </row>
    <row r="1127" spans="2:33" x14ac:dyDescent="0.35">
      <c r="D1127" s="177"/>
      <c r="F1127" s="8"/>
      <c r="G1127" s="303"/>
      <c r="H1127" s="394"/>
      <c r="I1127" s="15"/>
      <c r="K1127" s="295"/>
      <c r="P1127" s="295"/>
      <c r="R1127" s="135"/>
      <c r="S1127" s="472"/>
      <c r="T1127" s="295"/>
      <c r="V1127" s="135"/>
      <c r="W1127" s="295"/>
      <c r="Z1127" s="1"/>
    </row>
    <row r="1128" spans="2:33" x14ac:dyDescent="0.35">
      <c r="D1128" t="s">
        <v>3294</v>
      </c>
      <c r="F1128" s="8">
        <v>0.12</v>
      </c>
      <c r="G1128" s="303" t="s">
        <v>3246</v>
      </c>
      <c r="H1128" s="394" t="s">
        <v>6509</v>
      </c>
      <c r="I1128" s="15">
        <v>10</v>
      </c>
      <c r="J1128" s="15">
        <v>20</v>
      </c>
      <c r="K1128" s="295" t="s">
        <v>7682</v>
      </c>
      <c r="L1128" t="s">
        <v>3404</v>
      </c>
      <c r="P1128" s="295" t="s">
        <v>3247</v>
      </c>
      <c r="R1128" s="135"/>
      <c r="S1128" s="472"/>
      <c r="T1128" s="135"/>
      <c r="V1128" s="135" t="s">
        <v>8963</v>
      </c>
      <c r="W1128" s="295" t="s">
        <v>8962</v>
      </c>
      <c r="Z1128" s="1" t="s">
        <v>3249</v>
      </c>
      <c r="AB1128" t="s">
        <v>0</v>
      </c>
    </row>
    <row r="1129" spans="2:33" x14ac:dyDescent="0.35">
      <c r="F1129" s="8"/>
      <c r="G1129" s="303"/>
      <c r="H1129" s="394"/>
      <c r="I1129" s="13"/>
      <c r="K1129" s="295"/>
      <c r="P1129" s="295"/>
      <c r="R1129" s="135"/>
      <c r="S1129" s="472"/>
      <c r="T1129" s="135"/>
      <c r="V1129" s="304"/>
      <c r="W1129" s="295"/>
      <c r="Z1129" s="1"/>
    </row>
    <row r="1130" spans="2:33" x14ac:dyDescent="0.35">
      <c r="D1130" t="s">
        <v>3001</v>
      </c>
      <c r="F1130" s="8">
        <v>0.47</v>
      </c>
      <c r="G1130" s="303" t="s">
        <v>3002</v>
      </c>
      <c r="H1130" s="394" t="s">
        <v>6506</v>
      </c>
      <c r="I1130" s="15">
        <v>8</v>
      </c>
      <c r="K1130" s="295" t="s">
        <v>7583</v>
      </c>
      <c r="L1130" t="s">
        <v>0</v>
      </c>
      <c r="P1130" s="295" t="s">
        <v>6492</v>
      </c>
      <c r="R1130" s="135"/>
      <c r="S1130" s="472"/>
      <c r="T1130" s="135"/>
      <c r="V1130" s="304" t="s">
        <v>3248</v>
      </c>
      <c r="W1130" s="295"/>
      <c r="Z1130" s="1" t="s">
        <v>3004</v>
      </c>
      <c r="AB1130" t="s">
        <v>0</v>
      </c>
    </row>
    <row r="1131" spans="2:33" x14ac:dyDescent="0.35">
      <c r="F1131" s="8"/>
      <c r="G1131" s="303"/>
      <c r="H1131" s="394"/>
      <c r="I1131" s="15"/>
      <c r="K1131" s="295"/>
      <c r="P1131" s="295"/>
      <c r="R1131" s="135"/>
      <c r="S1131" s="472"/>
      <c r="T1131" s="135"/>
      <c r="V1131" s="304"/>
      <c r="W1131" s="295"/>
      <c r="Z1131" s="1"/>
    </row>
    <row r="1132" spans="2:33" x14ac:dyDescent="0.35">
      <c r="C1132" s="95"/>
      <c r="D1132" t="s">
        <v>6526</v>
      </c>
      <c r="F1132" s="8">
        <v>0.57999999999999996</v>
      </c>
      <c r="G1132" s="303" t="s">
        <v>3002</v>
      </c>
      <c r="H1132" s="394" t="s">
        <v>6529</v>
      </c>
      <c r="I1132" s="15">
        <v>2</v>
      </c>
      <c r="J1132" s="15">
        <v>15</v>
      </c>
      <c r="K1132" s="295" t="s">
        <v>7580</v>
      </c>
      <c r="P1132" s="295" t="s">
        <v>6491</v>
      </c>
      <c r="R1132" s="135"/>
      <c r="S1132" s="472"/>
      <c r="T1132" s="135"/>
      <c r="V1132" s="304" t="s">
        <v>3006</v>
      </c>
      <c r="W1132" s="295"/>
      <c r="Z1132" s="1" t="s">
        <v>3005</v>
      </c>
      <c r="AB1132" t="s">
        <v>0</v>
      </c>
      <c r="AC1132" s="143" t="s">
        <v>6483</v>
      </c>
      <c r="AE1132" s="1" t="s">
        <v>6482</v>
      </c>
      <c r="AF1132" t="s">
        <v>0</v>
      </c>
      <c r="AG1132" t="s">
        <v>6518</v>
      </c>
    </row>
    <row r="1133" spans="2:33" x14ac:dyDescent="0.35">
      <c r="C1133" s="95"/>
      <c r="D1133" t="s">
        <v>6527</v>
      </c>
      <c r="F1133" s="8">
        <v>0.71</v>
      </c>
      <c r="G1133" s="303" t="s">
        <v>3002</v>
      </c>
      <c r="H1133" s="394" t="s">
        <v>6529</v>
      </c>
      <c r="I1133">
        <v>5</v>
      </c>
      <c r="J1133">
        <v>35</v>
      </c>
      <c r="K1133" s="295" t="s">
        <v>7582</v>
      </c>
      <c r="P1133" s="295"/>
      <c r="R1133" s="135"/>
      <c r="S1133" s="472"/>
      <c r="T1133" s="135"/>
      <c r="V1133" s="304" t="s">
        <v>6528</v>
      </c>
      <c r="W1133" s="295"/>
      <c r="Y1133">
        <v>2007</v>
      </c>
      <c r="Z1133" s="1" t="s">
        <v>6525</v>
      </c>
      <c r="AB1133" t="s">
        <v>0</v>
      </c>
      <c r="AC1133" s="143"/>
      <c r="AE1133" s="1"/>
    </row>
    <row r="1134" spans="2:33" x14ac:dyDescent="0.35">
      <c r="B1134" s="83" t="s">
        <v>0</v>
      </c>
      <c r="C1134" s="95"/>
      <c r="D1134" t="s">
        <v>7581</v>
      </c>
      <c r="F1134" s="8"/>
      <c r="G1134" s="303" t="s">
        <v>3002</v>
      </c>
      <c r="H1134" s="394"/>
      <c r="K1134" s="295" t="s">
        <v>7580</v>
      </c>
      <c r="P1134" s="295"/>
      <c r="R1134" s="135"/>
      <c r="S1134" s="472"/>
      <c r="T1134" s="135"/>
      <c r="V1134" s="304"/>
      <c r="W1134" s="295"/>
      <c r="Z1134" s="1"/>
      <c r="AC1134" s="143"/>
      <c r="AE1134" s="1"/>
    </row>
    <row r="1135" spans="2:33" x14ac:dyDescent="0.35">
      <c r="C1135" s="95"/>
      <c r="D1135" t="s">
        <v>7505</v>
      </c>
      <c r="F1135" s="8"/>
      <c r="G1135" s="303" t="s">
        <v>3002</v>
      </c>
      <c r="H1135" s="394"/>
      <c r="I1135" s="15">
        <v>11</v>
      </c>
      <c r="J1135">
        <v>54</v>
      </c>
      <c r="K1135" s="295" t="s">
        <v>7584</v>
      </c>
      <c r="P1135" s="295"/>
      <c r="R1135" s="135"/>
      <c r="S1135" s="472"/>
      <c r="T1135" s="135"/>
      <c r="V1135" s="304"/>
      <c r="W1135" s="295"/>
      <c r="Z1135" s="1"/>
      <c r="AC1135" s="143"/>
      <c r="AE1135" s="1"/>
    </row>
    <row r="1136" spans="2:33" x14ac:dyDescent="0.35">
      <c r="C1136" s="95"/>
      <c r="D1136" t="s">
        <v>7215</v>
      </c>
      <c r="F1136" s="8">
        <v>0.57999999999999996</v>
      </c>
      <c r="G1136" s="303" t="str">
        <f>"4:1"</f>
        <v>4:1</v>
      </c>
      <c r="H1136" s="394" t="s">
        <v>7219</v>
      </c>
      <c r="I1136" s="15">
        <v>3.4</v>
      </c>
      <c r="K1136" s="295"/>
      <c r="L1136" t="s">
        <v>3296</v>
      </c>
      <c r="P1136" s="295" t="s">
        <v>7216</v>
      </c>
      <c r="R1136" s="472" t="s">
        <v>7217</v>
      </c>
      <c r="S1136" s="472"/>
      <c r="T1136" s="472" t="s">
        <v>7218</v>
      </c>
      <c r="V1136" s="304"/>
      <c r="W1136" s="295"/>
      <c r="Z1136" s="1" t="s">
        <v>7214</v>
      </c>
      <c r="AB1136" t="s">
        <v>0</v>
      </c>
      <c r="AC1136" s="143"/>
      <c r="AE1136" s="1"/>
    </row>
    <row r="1137" spans="1:31" x14ac:dyDescent="0.35">
      <c r="C1137" s="95"/>
      <c r="D1137" t="s">
        <v>7158</v>
      </c>
      <c r="F1137" s="8">
        <v>0.53</v>
      </c>
      <c r="G1137" s="303" t="s">
        <v>6414</v>
      </c>
      <c r="H1137" s="394" t="s">
        <v>7154</v>
      </c>
      <c r="I1137" s="15">
        <v>3.4</v>
      </c>
      <c r="J1137">
        <v>3</v>
      </c>
      <c r="K1137" s="295"/>
      <c r="L1137" t="s">
        <v>3297</v>
      </c>
      <c r="P1137" s="295" t="s">
        <v>7162</v>
      </c>
      <c r="R1137" s="472" t="s">
        <v>7156</v>
      </c>
      <c r="S1137" s="472"/>
      <c r="T1137" s="472" t="s">
        <v>7157</v>
      </c>
      <c r="V1137" s="304" t="s">
        <v>7155</v>
      </c>
      <c r="W1137" s="295"/>
      <c r="Z1137" s="1" t="s">
        <v>7153</v>
      </c>
      <c r="AB1137" t="s">
        <v>0</v>
      </c>
      <c r="AC1137" s="143"/>
      <c r="AE1137" s="1"/>
    </row>
    <row r="1138" spans="1:31" x14ac:dyDescent="0.35">
      <c r="C1138" s="95"/>
      <c r="D1138" t="s">
        <v>7159</v>
      </c>
      <c r="F1138" s="8">
        <v>0.5</v>
      </c>
      <c r="G1138" s="303" t="s">
        <v>6414</v>
      </c>
      <c r="H1138" s="394" t="s">
        <v>7160</v>
      </c>
      <c r="I1138" s="15">
        <v>15</v>
      </c>
      <c r="J1138">
        <v>15</v>
      </c>
      <c r="K1138" s="295"/>
      <c r="L1138" t="s">
        <v>3297</v>
      </c>
      <c r="P1138" s="295" t="s">
        <v>7161</v>
      </c>
      <c r="R1138" s="472" t="s">
        <v>7163</v>
      </c>
      <c r="S1138" s="472"/>
      <c r="T1138" s="472" t="s">
        <v>4309</v>
      </c>
      <c r="V1138" s="304"/>
      <c r="W1138" s="295"/>
      <c r="Z1138" s="1"/>
      <c r="AC1138" s="143"/>
      <c r="AE1138" s="1"/>
    </row>
    <row r="1139" spans="1:31" x14ac:dyDescent="0.35">
      <c r="C1139" s="95"/>
      <c r="D1139" t="s">
        <v>7532</v>
      </c>
      <c r="F1139" s="8">
        <v>1.56</v>
      </c>
      <c r="G1139" s="303" t="s">
        <v>3246</v>
      </c>
      <c r="H1139" s="394"/>
      <c r="I1139" s="15">
        <v>50</v>
      </c>
      <c r="J1139">
        <v>145</v>
      </c>
      <c r="K1139" s="295"/>
      <c r="P1139" s="295"/>
      <c r="R1139" s="472"/>
      <c r="S1139" s="472"/>
      <c r="T1139" s="472"/>
      <c r="V1139" s="304"/>
      <c r="W1139" s="295"/>
      <c r="Z1139" s="1"/>
      <c r="AC1139" s="143"/>
      <c r="AE1139" s="1"/>
    </row>
    <row r="1140" spans="1:31" x14ac:dyDescent="0.35">
      <c r="C1140" s="95"/>
      <c r="F1140" s="8"/>
      <c r="G1140" s="303"/>
      <c r="H1140" s="394"/>
      <c r="K1140" s="295"/>
      <c r="P1140" s="295"/>
      <c r="R1140" s="135"/>
      <c r="S1140" s="472"/>
      <c r="T1140" s="135"/>
      <c r="V1140" s="304"/>
      <c r="W1140" s="295"/>
      <c r="Z1140" s="1"/>
      <c r="AC1140" s="143"/>
      <c r="AE1140" s="1"/>
    </row>
    <row r="1141" spans="1:31" x14ac:dyDescent="0.35">
      <c r="D1141" t="s">
        <v>3292</v>
      </c>
      <c r="F1141" s="8">
        <v>0.11</v>
      </c>
      <c r="G1141" s="303" t="s">
        <v>3002</v>
      </c>
      <c r="H1141" s="448" t="s">
        <v>6516</v>
      </c>
      <c r="I1141" s="15">
        <v>3.5</v>
      </c>
      <c r="K1141" s="295"/>
      <c r="L1141" t="s">
        <v>3297</v>
      </c>
      <c r="O1141" s="295" t="s">
        <v>4464</v>
      </c>
      <c r="P1141" s="295" t="s">
        <v>6488</v>
      </c>
      <c r="S1141" s="295"/>
      <c r="V1141" s="304" t="s">
        <v>3251</v>
      </c>
      <c r="Z1141" s="1" t="s">
        <v>3250</v>
      </c>
      <c r="AB1141" t="s">
        <v>0</v>
      </c>
    </row>
    <row r="1142" spans="1:31" x14ac:dyDescent="0.35">
      <c r="F1142" s="8"/>
      <c r="G1142" s="303"/>
      <c r="H1142" s="448"/>
      <c r="I1142" s="15"/>
      <c r="K1142" s="295"/>
      <c r="O1142" s="295"/>
      <c r="P1142" s="295"/>
      <c r="S1142" s="295"/>
      <c r="V1142" s="304"/>
      <c r="Z1142" s="1"/>
    </row>
    <row r="1143" spans="1:31" x14ac:dyDescent="0.35">
      <c r="D1143" s="937" t="s">
        <v>8966</v>
      </c>
      <c r="F1143" s="8"/>
      <c r="G1143" s="303"/>
      <c r="H1143" s="448"/>
      <c r="I1143" s="15"/>
      <c r="K1143" s="295"/>
      <c r="O1143" s="295"/>
      <c r="P1143" s="295"/>
      <c r="S1143" s="295"/>
      <c r="V1143" s="304"/>
      <c r="Z1143" s="1"/>
    </row>
    <row r="1144" spans="1:31" x14ac:dyDescent="0.35">
      <c r="A1144" s="83"/>
      <c r="D1144" t="s">
        <v>8956</v>
      </c>
      <c r="F1144" s="8">
        <v>0.11</v>
      </c>
      <c r="G1144" s="303" t="s">
        <v>3002</v>
      </c>
      <c r="H1144" s="394" t="s">
        <v>9095</v>
      </c>
      <c r="I1144">
        <v>6</v>
      </c>
      <c r="J1144">
        <v>23</v>
      </c>
      <c r="K1144" s="295" t="s">
        <v>7679</v>
      </c>
      <c r="L1144" t="s">
        <v>3297</v>
      </c>
      <c r="O1144" s="295" t="s">
        <v>6393</v>
      </c>
      <c r="P1144" s="295" t="s">
        <v>9096</v>
      </c>
      <c r="R1144" s="472" t="s">
        <v>9097</v>
      </c>
      <c r="S1144" s="295"/>
      <c r="T1144" s="472" t="s">
        <v>4309</v>
      </c>
      <c r="V1144" s="135" t="s">
        <v>8964</v>
      </c>
      <c r="W1144" s="295" t="s">
        <v>8965</v>
      </c>
      <c r="Y1144">
        <v>2015</v>
      </c>
      <c r="Z1144" s="1" t="s">
        <v>6392</v>
      </c>
      <c r="AB1144" t="s">
        <v>8889</v>
      </c>
      <c r="AD1144" t="s">
        <v>0</v>
      </c>
      <c r="AE1144" t="s">
        <v>6481</v>
      </c>
    </row>
    <row r="1145" spans="1:31" x14ac:dyDescent="0.35">
      <c r="A1145" s="83"/>
      <c r="D1145" t="s">
        <v>8957</v>
      </c>
      <c r="F1145" s="8">
        <v>0.11</v>
      </c>
      <c r="G1145" s="303" t="s">
        <v>7727</v>
      </c>
      <c r="H1145" s="394" t="s">
        <v>122</v>
      </c>
      <c r="I1145" s="448" t="s">
        <v>122</v>
      </c>
      <c r="J1145" s="448" t="s">
        <v>122</v>
      </c>
      <c r="K1145" s="295"/>
      <c r="L1145" s="394" t="s">
        <v>122</v>
      </c>
      <c r="O1145" s="295" t="s">
        <v>122</v>
      </c>
      <c r="P1145" s="295" t="s">
        <v>122</v>
      </c>
      <c r="R1145" s="295" t="s">
        <v>122</v>
      </c>
      <c r="S1145" s="295"/>
      <c r="T1145" s="295" t="s">
        <v>122</v>
      </c>
      <c r="V1145" s="448" t="s">
        <v>122</v>
      </c>
      <c r="W1145" s="295"/>
      <c r="Z1145" s="1" t="s">
        <v>7726</v>
      </c>
      <c r="AB1145" t="s">
        <v>8890</v>
      </c>
    </row>
    <row r="1146" spans="1:31" x14ac:dyDescent="0.35">
      <c r="D1146" t="s">
        <v>6413</v>
      </c>
      <c r="F1146" s="8">
        <v>0.11</v>
      </c>
      <c r="G1146" s="303" t="s">
        <v>6414</v>
      </c>
      <c r="H1146" s="394" t="s">
        <v>6517</v>
      </c>
      <c r="I1146" s="15"/>
      <c r="J1146" s="13"/>
      <c r="K1146" s="295"/>
      <c r="P1146" s="295"/>
      <c r="S1146" s="295"/>
      <c r="V1146" s="304"/>
      <c r="W1146" s="295"/>
      <c r="Z1146" s="1" t="s">
        <v>6412</v>
      </c>
      <c r="AB1146" t="s">
        <v>0</v>
      </c>
    </row>
    <row r="1147" spans="1:31" x14ac:dyDescent="0.35">
      <c r="B1147" s="89"/>
      <c r="F1147" s="8"/>
      <c r="G1147" s="303"/>
      <c r="H1147" s="394"/>
      <c r="K1147" s="295"/>
      <c r="O1147" s="295"/>
      <c r="P1147" s="295"/>
      <c r="R1147" s="472"/>
      <c r="S1147" s="295"/>
      <c r="V1147" s="304"/>
      <c r="W1147" s="295"/>
      <c r="Z1147" s="1"/>
    </row>
    <row r="1148" spans="1:31" x14ac:dyDescent="0.35">
      <c r="D1148" t="s">
        <v>7684</v>
      </c>
      <c r="F1148" s="8">
        <v>0.14000000000000001</v>
      </c>
      <c r="G1148" s="303" t="s">
        <v>3002</v>
      </c>
      <c r="H1148" s="394" t="s">
        <v>6517</v>
      </c>
      <c r="I1148">
        <v>6</v>
      </c>
      <c r="J1148">
        <v>24</v>
      </c>
      <c r="K1148" s="310" t="s">
        <v>7681</v>
      </c>
      <c r="L1148" t="s">
        <v>3297</v>
      </c>
      <c r="O1148" t="s">
        <v>4528</v>
      </c>
      <c r="P1148" s="295" t="s">
        <v>6489</v>
      </c>
      <c r="R1148" s="472" t="s">
        <v>6490</v>
      </c>
      <c r="S1148" s="295"/>
      <c r="V1148" s="304" t="s">
        <v>3248</v>
      </c>
      <c r="W1148" s="295"/>
      <c r="Y1148">
        <v>1999</v>
      </c>
      <c r="Z1148" s="1" t="s">
        <v>4522</v>
      </c>
      <c r="AB1148" t="s">
        <v>0</v>
      </c>
      <c r="AC1148" t="s">
        <v>6411</v>
      </c>
    </row>
    <row r="1149" spans="1:31" x14ac:dyDescent="0.35">
      <c r="C1149" s="351"/>
      <c r="D1149" t="s">
        <v>4525</v>
      </c>
      <c r="F1149" s="8">
        <v>0.14000000000000001</v>
      </c>
      <c r="G1149" s="303" t="s">
        <v>4527</v>
      </c>
      <c r="H1149" s="394" t="s">
        <v>122</v>
      </c>
      <c r="I1149" s="448" t="s">
        <v>122</v>
      </c>
      <c r="J1149" s="448" t="s">
        <v>122</v>
      </c>
      <c r="K1149" s="295"/>
      <c r="L1149" s="448" t="s">
        <v>122</v>
      </c>
      <c r="O1149" s="448" t="s">
        <v>122</v>
      </c>
      <c r="P1149" s="448" t="s">
        <v>122</v>
      </c>
      <c r="S1149" s="295"/>
      <c r="V1149" s="448" t="s">
        <v>122</v>
      </c>
      <c r="W1149" s="295"/>
      <c r="Y1149" s="448" t="s">
        <v>122</v>
      </c>
      <c r="Z1149" s="1"/>
      <c r="AC1149" t="s">
        <v>4526</v>
      </c>
    </row>
    <row r="1150" spans="1:31" x14ac:dyDescent="0.35">
      <c r="C1150" s="351"/>
      <c r="D1150" t="s">
        <v>6970</v>
      </c>
      <c r="F1150" s="8">
        <v>0.14000000000000001</v>
      </c>
      <c r="G1150" s="303" t="s">
        <v>6971</v>
      </c>
      <c r="H1150" s="394" t="s">
        <v>122</v>
      </c>
      <c r="I1150" s="448" t="s">
        <v>122</v>
      </c>
      <c r="J1150" s="448" t="s">
        <v>122</v>
      </c>
      <c r="K1150" s="295"/>
      <c r="L1150" s="448" t="s">
        <v>122</v>
      </c>
      <c r="O1150" s="448" t="s">
        <v>122</v>
      </c>
      <c r="P1150" s="448" t="s">
        <v>122</v>
      </c>
      <c r="S1150" s="295"/>
      <c r="V1150" s="448" t="s">
        <v>122</v>
      </c>
      <c r="W1150" s="295"/>
      <c r="Y1150" s="448"/>
      <c r="Z1150" s="1" t="s">
        <v>6969</v>
      </c>
      <c r="AB1150" t="s">
        <v>0</v>
      </c>
    </row>
    <row r="1151" spans="1:31" x14ac:dyDescent="0.35">
      <c r="D1151" t="s">
        <v>6416</v>
      </c>
      <c r="F1151" s="8">
        <v>0.13</v>
      </c>
      <c r="G1151" s="303" t="s">
        <v>6414</v>
      </c>
      <c r="H1151" s="394" t="s">
        <v>6517</v>
      </c>
      <c r="I1151" s="15"/>
      <c r="J1151" s="13"/>
      <c r="K1151" s="295"/>
      <c r="P1151" s="295"/>
      <c r="S1151" s="295"/>
      <c r="V1151" s="304"/>
      <c r="W1151" s="295"/>
      <c r="Z1151" s="1" t="s">
        <v>6415</v>
      </c>
      <c r="AB1151" t="s">
        <v>0</v>
      </c>
    </row>
    <row r="1152" spans="1:31" x14ac:dyDescent="0.35">
      <c r="F1152" s="8"/>
      <c r="G1152" s="303"/>
      <c r="H1152" s="394"/>
      <c r="I1152" s="15"/>
      <c r="J1152" s="13"/>
      <c r="K1152" s="295"/>
      <c r="P1152" s="295"/>
      <c r="S1152" s="295"/>
      <c r="V1152" s="304"/>
      <c r="W1152" s="295"/>
      <c r="Z1152" s="1"/>
    </row>
    <row r="1153" spans="2:32" x14ac:dyDescent="0.35">
      <c r="D1153" t="s">
        <v>9102</v>
      </c>
      <c r="F1153" s="315">
        <v>0.25</v>
      </c>
      <c r="G1153" s="303" t="s">
        <v>4527</v>
      </c>
      <c r="H1153" s="394" t="s">
        <v>9101</v>
      </c>
      <c r="I1153" s="15"/>
      <c r="J1153" s="13"/>
      <c r="K1153" s="295"/>
      <c r="P1153" s="295"/>
      <c r="S1153" s="295"/>
      <c r="V1153" s="135" t="s">
        <v>8959</v>
      </c>
      <c r="W1153" s="295"/>
      <c r="Y1153">
        <v>2016</v>
      </c>
      <c r="Z1153" s="1" t="s">
        <v>9100</v>
      </c>
      <c r="AB1153" t="s">
        <v>0</v>
      </c>
    </row>
    <row r="1154" spans="2:32" x14ac:dyDescent="0.35">
      <c r="F1154" s="8"/>
      <c r="G1154" s="303"/>
      <c r="H1154" s="394"/>
      <c r="I1154" s="15"/>
      <c r="J1154" s="13"/>
      <c r="K1154" s="295"/>
      <c r="P1154" s="295"/>
      <c r="S1154" s="295"/>
      <c r="V1154" s="304"/>
      <c r="W1154" s="295"/>
      <c r="Z1154" s="1"/>
    </row>
    <row r="1155" spans="2:32" x14ac:dyDescent="0.35">
      <c r="C1155" s="95"/>
      <c r="D1155" t="s">
        <v>6484</v>
      </c>
      <c r="F1155" s="8">
        <v>0.36</v>
      </c>
      <c r="G1155" s="303" t="s">
        <v>3002</v>
      </c>
      <c r="H1155" s="394" t="s">
        <v>6507</v>
      </c>
      <c r="I1155" s="89">
        <v>350</v>
      </c>
      <c r="K1155" s="295"/>
      <c r="P1155" s="295" t="s">
        <v>6496</v>
      </c>
      <c r="R1155" s="472" t="s">
        <v>6497</v>
      </c>
      <c r="S1155" s="295"/>
      <c r="T1155" s="472" t="s">
        <v>6498</v>
      </c>
      <c r="V1155" s="304" t="s">
        <v>6485</v>
      </c>
      <c r="W1155" s="295"/>
      <c r="Y1155">
        <v>2012</v>
      </c>
      <c r="Z1155" s="1" t="s">
        <v>6486</v>
      </c>
      <c r="AB1155" t="s">
        <v>0</v>
      </c>
      <c r="AC1155" s="143" t="s">
        <v>6487</v>
      </c>
      <c r="AE1155" s="1"/>
    </row>
    <row r="1156" spans="2:32" x14ac:dyDescent="0.35">
      <c r="C1156" s="95"/>
      <c r="D1156" t="s">
        <v>6502</v>
      </c>
      <c r="F1156" s="8">
        <v>0.43</v>
      </c>
      <c r="G1156" s="303" t="s">
        <v>3002</v>
      </c>
      <c r="H1156" s="394" t="s">
        <v>6508</v>
      </c>
      <c r="I1156" s="89">
        <v>85</v>
      </c>
      <c r="K1156" s="295"/>
      <c r="P1156" s="295" t="s">
        <v>6505</v>
      </c>
      <c r="R1156" s="472" t="s">
        <v>6504</v>
      </c>
      <c r="S1156" s="295"/>
      <c r="T1156" s="472"/>
      <c r="V1156" s="304" t="s">
        <v>3248</v>
      </c>
      <c r="W1156" s="295"/>
      <c r="Y1156">
        <v>2018</v>
      </c>
      <c r="Z1156" s="1" t="s">
        <v>6501</v>
      </c>
      <c r="AB1156" t="s">
        <v>0</v>
      </c>
      <c r="AC1156" s="143" t="s">
        <v>6503</v>
      </c>
      <c r="AE1156" t="s">
        <v>6524</v>
      </c>
    </row>
    <row r="1157" spans="2:32" x14ac:dyDescent="0.35">
      <c r="F1157" s="8"/>
      <c r="G1157" s="303"/>
      <c r="H1157" s="394"/>
      <c r="I1157" s="15"/>
      <c r="J1157" s="13"/>
      <c r="P1157" s="295"/>
      <c r="S1157" s="295"/>
      <c r="V1157" s="304"/>
      <c r="W1157" s="295"/>
      <c r="Z1157" s="1"/>
    </row>
    <row r="1158" spans="2:32" x14ac:dyDescent="0.35">
      <c r="B1158" s="83" t="s">
        <v>4720</v>
      </c>
    </row>
    <row r="1159" spans="2:32" ht="27" customHeight="1" x14ac:dyDescent="0.35">
      <c r="D1159" s="123" t="s">
        <v>2956</v>
      </c>
      <c r="E1159" s="4"/>
      <c r="F1159" s="123" t="s">
        <v>620</v>
      </c>
      <c r="G1159" s="4"/>
      <c r="H1159" s="4"/>
      <c r="I1159" s="123" t="s">
        <v>3026</v>
      </c>
      <c r="J1159" s="123" t="s">
        <v>4722</v>
      </c>
      <c r="K1159" s="123" t="s">
        <v>6695</v>
      </c>
      <c r="L1159" s="123" t="s">
        <v>4351</v>
      </c>
      <c r="M1159" s="123" t="s">
        <v>6696</v>
      </c>
      <c r="N1159" s="123" t="s">
        <v>4352</v>
      </c>
      <c r="O1159" s="123" t="s">
        <v>4729</v>
      </c>
      <c r="P1159" s="123" t="s">
        <v>3290</v>
      </c>
      <c r="Q1159" s="4"/>
      <c r="R1159" s="123" t="s">
        <v>2961</v>
      </c>
      <c r="S1159" s="4"/>
      <c r="T1159" s="123" t="s">
        <v>4228</v>
      </c>
    </row>
    <row r="1160" spans="2:32" x14ac:dyDescent="0.35">
      <c r="C1160" s="351"/>
      <c r="D1160" s="753" t="s">
        <v>4718</v>
      </c>
      <c r="F1160" s="8"/>
      <c r="G1160" s="295"/>
      <c r="I1160" s="73"/>
      <c r="K1160" s="73"/>
      <c r="L1160" s="308"/>
      <c r="P1160" s="295"/>
      <c r="R1160" s="1"/>
    </row>
    <row r="1161" spans="2:32" x14ac:dyDescent="0.35">
      <c r="D1161" t="s">
        <v>3016</v>
      </c>
      <c r="F1161" s="8">
        <v>2.2200000000000002</v>
      </c>
      <c r="G1161" s="295" t="s">
        <v>3017</v>
      </c>
      <c r="I1161" s="73">
        <v>2500</v>
      </c>
      <c r="K1161" s="73" t="s">
        <v>3018</v>
      </c>
      <c r="L1161" s="308" t="s">
        <v>3037</v>
      </c>
      <c r="M1161" t="s">
        <v>0</v>
      </c>
      <c r="R1161" s="1" t="s">
        <v>3015</v>
      </c>
      <c r="T1161" t="s">
        <v>0</v>
      </c>
      <c r="U1161" s="309" t="s">
        <v>3035</v>
      </c>
      <c r="W1161" s="128" t="s">
        <v>3023</v>
      </c>
      <c r="X1161" s="1" t="s">
        <v>3024</v>
      </c>
      <c r="Y1161" t="s">
        <v>0</v>
      </c>
      <c r="Z1161" s="128" t="s">
        <v>3028</v>
      </c>
      <c r="AA1161" s="1" t="s">
        <v>3029</v>
      </c>
      <c r="AB1161" t="s">
        <v>0</v>
      </c>
      <c r="AD1161" t="s">
        <v>3033</v>
      </c>
      <c r="AE1161" s="1" t="s">
        <v>3034</v>
      </c>
      <c r="AF1161" t="s">
        <v>0</v>
      </c>
    </row>
    <row r="1162" spans="2:32" x14ac:dyDescent="0.35">
      <c r="D1162" s="128" t="s">
        <v>3027</v>
      </c>
      <c r="F1162" s="8">
        <v>1.97</v>
      </c>
      <c r="G1162" s="295" t="s">
        <v>3032</v>
      </c>
      <c r="I1162" s="73">
        <v>1060</v>
      </c>
      <c r="K1162" s="73" t="s">
        <v>4350</v>
      </c>
      <c r="L1162" s="308" t="s">
        <v>3037</v>
      </c>
      <c r="M1162">
        <v>3.5</v>
      </c>
      <c r="N1162">
        <v>3.5</v>
      </c>
      <c r="R1162" s="1" t="s">
        <v>3025</v>
      </c>
      <c r="T1162" t="s">
        <v>0</v>
      </c>
    </row>
    <row r="1163" spans="2:32" x14ac:dyDescent="0.35">
      <c r="D1163" t="s">
        <v>3030</v>
      </c>
      <c r="F1163" s="8">
        <v>2.5</v>
      </c>
      <c r="G1163" s="295" t="s">
        <v>3031</v>
      </c>
      <c r="I1163" s="73"/>
      <c r="K1163" s="73"/>
      <c r="R1163" s="1"/>
    </row>
    <row r="1164" spans="2:32" x14ac:dyDescent="0.35">
      <c r="C1164" s="351" t="s">
        <v>3063</v>
      </c>
      <c r="D1164" t="s">
        <v>3390</v>
      </c>
      <c r="F1164" s="8">
        <v>1.9</v>
      </c>
      <c r="G1164" s="295" t="s">
        <v>3275</v>
      </c>
      <c r="I1164" s="73">
        <v>5700</v>
      </c>
      <c r="K1164" s="73" t="s">
        <v>3036</v>
      </c>
      <c r="L1164" s="308" t="s">
        <v>3037</v>
      </c>
      <c r="O1164">
        <v>12</v>
      </c>
      <c r="P1164" s="295" t="s">
        <v>3391</v>
      </c>
      <c r="R1164" s="1" t="s">
        <v>7986</v>
      </c>
      <c r="T1164" s="295" t="s">
        <v>7987</v>
      </c>
    </row>
    <row r="1165" spans="2:32" x14ac:dyDescent="0.35">
      <c r="C1165" s="351"/>
      <c r="F1165" s="8"/>
      <c r="G1165" s="295"/>
      <c r="I1165" s="73"/>
      <c r="K1165" s="73"/>
      <c r="L1165" s="308"/>
      <c r="P1165" s="295"/>
      <c r="R1165" s="1"/>
    </row>
    <row r="1166" spans="2:32" x14ac:dyDescent="0.35">
      <c r="C1166" s="351"/>
      <c r="D1166" s="753" t="s">
        <v>4719</v>
      </c>
      <c r="F1166" s="8"/>
      <c r="G1166" s="295"/>
      <c r="I1166" s="73"/>
      <c r="K1166" s="73"/>
      <c r="L1166" s="308"/>
      <c r="P1166" s="295"/>
      <c r="R1166" s="1"/>
    </row>
    <row r="1167" spans="2:32" x14ac:dyDescent="0.35">
      <c r="C1167" s="351"/>
      <c r="D1167" t="s">
        <v>4728</v>
      </c>
      <c r="F1167" s="8">
        <v>0.38</v>
      </c>
      <c r="G1167" s="295"/>
      <c r="I1167" s="73" t="s">
        <v>4726</v>
      </c>
      <c r="J1167" s="73" t="s">
        <v>4723</v>
      </c>
      <c r="K1167" s="73" t="s">
        <v>4725</v>
      </c>
      <c r="L1167" s="308" t="s">
        <v>4724</v>
      </c>
      <c r="M1167" s="316" t="s">
        <v>4727</v>
      </c>
      <c r="O1167">
        <v>5</v>
      </c>
      <c r="P1167" s="295" t="s">
        <v>3324</v>
      </c>
      <c r="R1167" s="1" t="s">
        <v>4721</v>
      </c>
      <c r="T1167" t="s">
        <v>0</v>
      </c>
    </row>
    <row r="1168" spans="2:32" x14ac:dyDescent="0.35">
      <c r="D1168" t="s">
        <v>8902</v>
      </c>
      <c r="F1168" s="8">
        <v>0.95</v>
      </c>
      <c r="G1168" s="295"/>
      <c r="I1168" s="73"/>
      <c r="K1168" s="73">
        <v>12</v>
      </c>
      <c r="O1168" t="s">
        <v>8903</v>
      </c>
      <c r="Q1168" s="1"/>
      <c r="R1168" t="s">
        <v>8901</v>
      </c>
      <c r="S1168" t="s">
        <v>0</v>
      </c>
    </row>
    <row r="1169" spans="2:36" x14ac:dyDescent="0.35">
      <c r="D1169" t="s">
        <v>8908</v>
      </c>
      <c r="F1169" s="8">
        <v>0.79</v>
      </c>
      <c r="G1169" s="295"/>
      <c r="H1169" t="s">
        <v>8909</v>
      </c>
      <c r="I1169" s="73"/>
      <c r="J1169" s="73" t="s">
        <v>4723</v>
      </c>
      <c r="K1169" s="73"/>
      <c r="O1169" t="s">
        <v>8911</v>
      </c>
      <c r="Q1169" s="1"/>
      <c r="R1169" t="s">
        <v>8910</v>
      </c>
    </row>
    <row r="1170" spans="2:36" x14ac:dyDescent="0.35">
      <c r="D1170" t="s">
        <v>8913</v>
      </c>
      <c r="F1170" s="8">
        <v>0.39</v>
      </c>
      <c r="G1170" s="295"/>
      <c r="H1170" t="s">
        <v>8909</v>
      </c>
      <c r="I1170" s="73"/>
      <c r="K1170" s="73"/>
      <c r="Q1170" s="1"/>
      <c r="R1170" t="s">
        <v>8912</v>
      </c>
    </row>
    <row r="1171" spans="2:36" x14ac:dyDescent="0.35">
      <c r="D1171" t="s">
        <v>8914</v>
      </c>
      <c r="F1171" s="8"/>
      <c r="G1171" s="295"/>
      <c r="H1171" t="s">
        <v>8915</v>
      </c>
      <c r="I1171" s="73"/>
      <c r="K1171" s="73"/>
      <c r="Q1171" s="1"/>
    </row>
    <row r="1172" spans="2:36" x14ac:dyDescent="0.35">
      <c r="D1172" t="s">
        <v>8917</v>
      </c>
      <c r="F1172" s="8">
        <v>2.4500000000000002</v>
      </c>
      <c r="G1172" s="295"/>
      <c r="H1172" t="s">
        <v>8918</v>
      </c>
      <c r="I1172" s="73"/>
      <c r="K1172" s="73"/>
      <c r="Q1172" s="1"/>
      <c r="R1172" t="s">
        <v>8916</v>
      </c>
    </row>
    <row r="1173" spans="2:36" x14ac:dyDescent="0.35">
      <c r="D1173" t="s">
        <v>8920</v>
      </c>
      <c r="F1173" s="8">
        <v>0.85</v>
      </c>
      <c r="G1173" s="295"/>
      <c r="H1173" t="s">
        <v>8921</v>
      </c>
      <c r="I1173" s="73"/>
      <c r="K1173" s="73"/>
      <c r="Q1173" s="1"/>
      <c r="R1173" t="s">
        <v>8919</v>
      </c>
    </row>
    <row r="1174" spans="2:36" x14ac:dyDescent="0.35">
      <c r="D1174" t="s">
        <v>8926</v>
      </c>
      <c r="F1174" s="315">
        <v>1.5</v>
      </c>
      <c r="G1174" s="295"/>
      <c r="H1174" t="s">
        <v>8909</v>
      </c>
      <c r="I1174" s="73"/>
      <c r="K1174" s="73"/>
      <c r="Q1174" s="1"/>
      <c r="R1174" t="s">
        <v>8925</v>
      </c>
    </row>
    <row r="1175" spans="2:36" x14ac:dyDescent="0.35">
      <c r="F1175" s="8"/>
      <c r="G1175" s="295"/>
      <c r="I1175" s="73"/>
      <c r="K1175" s="73"/>
      <c r="Q1175" s="1"/>
    </row>
    <row r="1176" spans="2:36" x14ac:dyDescent="0.35">
      <c r="B1176" s="83" t="s">
        <v>3091</v>
      </c>
      <c r="F1176" s="8"/>
      <c r="G1176" s="295"/>
      <c r="Q1176" s="73"/>
    </row>
    <row r="1177" spans="2:36" ht="24.5" x14ac:dyDescent="0.35">
      <c r="C1177" s="302"/>
      <c r="D1177" s="123" t="s">
        <v>2956</v>
      </c>
      <c r="E1177" s="4"/>
      <c r="F1177" s="123" t="s">
        <v>620</v>
      </c>
      <c r="G1177" s="123" t="s">
        <v>3072</v>
      </c>
      <c r="H1177" s="123" t="s">
        <v>3071</v>
      </c>
      <c r="I1177" s="123" t="s">
        <v>3084</v>
      </c>
      <c r="J1177" s="123" t="s">
        <v>6513</v>
      </c>
      <c r="K1177" s="123" t="s">
        <v>6514</v>
      </c>
      <c r="L1177" s="123" t="s">
        <v>3083</v>
      </c>
      <c r="M1177" s="123" t="s">
        <v>3088</v>
      </c>
      <c r="N1177" s="123" t="s">
        <v>2076</v>
      </c>
      <c r="O1177" s="123" t="s">
        <v>6515</v>
      </c>
      <c r="P1177" s="123" t="s">
        <v>9079</v>
      </c>
      <c r="R1177" s="123" t="s">
        <v>2978</v>
      </c>
      <c r="S1177" s="123" t="s">
        <v>2961</v>
      </c>
      <c r="T1177" s="4"/>
      <c r="U1177" s="123" t="s">
        <v>3078</v>
      </c>
      <c r="V1177" s="4"/>
    </row>
    <row r="1178" spans="2:36" x14ac:dyDescent="0.35">
      <c r="B1178"/>
      <c r="C1178" s="351" t="s">
        <v>3063</v>
      </c>
      <c r="D1178" t="s">
        <v>3396</v>
      </c>
      <c r="F1178" s="8" t="s">
        <v>9078</v>
      </c>
      <c r="G1178" s="73" t="s">
        <v>3075</v>
      </c>
      <c r="H1178" s="73">
        <v>200</v>
      </c>
      <c r="I1178" s="73">
        <v>600</v>
      </c>
      <c r="J1178" s="313" t="s">
        <v>3080</v>
      </c>
      <c r="K1178" s="313" t="s">
        <v>3081</v>
      </c>
      <c r="L1178" s="314" t="s">
        <v>3085</v>
      </c>
      <c r="M1178" s="313" t="s">
        <v>3090</v>
      </c>
      <c r="N1178" s="313">
        <v>2019</v>
      </c>
      <c r="O1178" s="314" t="s">
        <v>3087</v>
      </c>
      <c r="P1178" s="316" t="s">
        <v>9080</v>
      </c>
      <c r="R1178" t="s">
        <v>3398</v>
      </c>
      <c r="S1178" s="1" t="s">
        <v>3073</v>
      </c>
      <c r="T1178" t="s">
        <v>0</v>
      </c>
      <c r="U1178" s="1" t="s">
        <v>3070</v>
      </c>
      <c r="V1178" t="s">
        <v>0</v>
      </c>
      <c r="W1178" t="s">
        <v>9082</v>
      </c>
      <c r="Y1178" s="302" t="s">
        <v>1377</v>
      </c>
      <c r="Z1178" s="8" t="s">
        <v>3067</v>
      </c>
      <c r="AA1178" s="295"/>
      <c r="AJ1178" s="1" t="s">
        <v>3064</v>
      </c>
    </row>
    <row r="1179" spans="2:36" x14ac:dyDescent="0.35">
      <c r="B1179"/>
      <c r="D1179" t="s">
        <v>3397</v>
      </c>
      <c r="F1179" s="8">
        <v>1.17</v>
      </c>
      <c r="G1179" s="73" t="s">
        <v>3076</v>
      </c>
      <c r="H1179" s="73">
        <v>200</v>
      </c>
      <c r="I1179" s="73">
        <v>800</v>
      </c>
      <c r="J1179" s="313" t="s">
        <v>3082</v>
      </c>
      <c r="K1179" s="313" t="s">
        <v>3079</v>
      </c>
      <c r="L1179" s="314" t="s">
        <v>3086</v>
      </c>
      <c r="M1179" s="313" t="s">
        <v>3089</v>
      </c>
      <c r="N1179" s="313">
        <v>2019</v>
      </c>
      <c r="O1179" s="314" t="s">
        <v>3087</v>
      </c>
      <c r="P1179" s="316" t="s">
        <v>9081</v>
      </c>
      <c r="S1179" s="1" t="s">
        <v>3074</v>
      </c>
      <c r="T1179" t="s">
        <v>0</v>
      </c>
      <c r="U1179" s="1" t="s">
        <v>3077</v>
      </c>
      <c r="V1179" t="s">
        <v>0</v>
      </c>
      <c r="W1179" t="s">
        <v>0</v>
      </c>
      <c r="Z1179" s="8" t="s">
        <v>3066</v>
      </c>
      <c r="AA1179" s="295"/>
      <c r="AJ1179" s="1" t="s">
        <v>3065</v>
      </c>
    </row>
    <row r="1180" spans="2:36" x14ac:dyDescent="0.35">
      <c r="B1180"/>
      <c r="D1180" t="s">
        <v>3277</v>
      </c>
      <c r="F1180" s="8">
        <v>1.05</v>
      </c>
      <c r="G1180" s="73" t="s">
        <v>3279</v>
      </c>
      <c r="H1180" s="128" t="s">
        <v>3284</v>
      </c>
      <c r="I1180" s="73"/>
      <c r="J1180" s="313"/>
      <c r="K1180" s="313"/>
      <c r="L1180" s="314"/>
      <c r="M1180" s="313"/>
      <c r="N1180" s="313">
        <v>2011</v>
      </c>
      <c r="O1180" s="314"/>
      <c r="S1180" s="1" t="s">
        <v>3276</v>
      </c>
      <c r="T1180" t="s">
        <v>0</v>
      </c>
      <c r="U1180" s="1"/>
      <c r="W1180" t="s">
        <v>3278</v>
      </c>
      <c r="Z1180" s="8" t="s">
        <v>3068</v>
      </c>
      <c r="AA1180" s="295"/>
      <c r="AC1180" s="73"/>
      <c r="AE1180" s="73"/>
      <c r="AJ1180" s="1" t="s">
        <v>3069</v>
      </c>
    </row>
    <row r="1181" spans="2:36" x14ac:dyDescent="0.35">
      <c r="D1181" s="128" t="s">
        <v>3280</v>
      </c>
      <c r="E1181" s="73"/>
      <c r="F1181" s="73" t="s">
        <v>3281</v>
      </c>
      <c r="G1181" s="73" t="s">
        <v>3285</v>
      </c>
      <c r="H1181" s="8"/>
      <c r="I1181" s="73"/>
      <c r="J1181" s="313" t="s">
        <v>3282</v>
      </c>
      <c r="L1181" s="314" t="s">
        <v>3283</v>
      </c>
      <c r="R1181" s="1"/>
    </row>
    <row r="1182" spans="2:36" x14ac:dyDescent="0.35">
      <c r="D1182" t="s">
        <v>4753</v>
      </c>
      <c r="F1182" s="8">
        <v>0.26</v>
      </c>
      <c r="G1182" s="316" t="s">
        <v>4754</v>
      </c>
      <c r="J1182" s="8"/>
      <c r="K1182" s="73"/>
      <c r="R1182" s="1"/>
      <c r="S1182" s="1" t="s">
        <v>4752</v>
      </c>
      <c r="U1182" t="s">
        <v>0</v>
      </c>
    </row>
    <row r="1183" spans="2:36" x14ac:dyDescent="0.35">
      <c r="G1183" s="489"/>
      <c r="J1183" s="8"/>
      <c r="K1183" s="73"/>
      <c r="Q1183" s="1"/>
      <c r="R1183" s="1"/>
    </row>
    <row r="1184" spans="2:36" ht="26.5" customHeight="1" x14ac:dyDescent="0.35">
      <c r="B1184" s="83" t="s">
        <v>3306</v>
      </c>
      <c r="D1184" s="123" t="s">
        <v>2956</v>
      </c>
      <c r="E1184" s="295"/>
      <c r="F1184" s="123" t="s">
        <v>620</v>
      </c>
      <c r="G1184" s="123" t="s">
        <v>2978</v>
      </c>
      <c r="H1184" s="8"/>
      <c r="I1184" s="123" t="s">
        <v>3105</v>
      </c>
      <c r="J1184" s="123" t="s">
        <v>4778</v>
      </c>
      <c r="K1184" s="123" t="s">
        <v>4043</v>
      </c>
      <c r="L1184" s="123" t="s">
        <v>4037</v>
      </c>
      <c r="M1184" s="123" t="s">
        <v>4044</v>
      </c>
      <c r="O1184" s="123" t="s">
        <v>4053</v>
      </c>
      <c r="P1184" s="123" t="s">
        <v>3131</v>
      </c>
      <c r="R1184" s="123" t="s">
        <v>2961</v>
      </c>
      <c r="S1184" s="4"/>
      <c r="T1184" s="123" t="s">
        <v>4228</v>
      </c>
    </row>
    <row r="1185" spans="3:28" x14ac:dyDescent="0.35">
      <c r="D1185" s="401" t="s">
        <v>3102</v>
      </c>
      <c r="E1185" s="295"/>
      <c r="F1185" s="411"/>
      <c r="G1185" s="297"/>
      <c r="H1185" s="8"/>
      <c r="I1185" s="297"/>
      <c r="J1185" s="297"/>
      <c r="P1185" s="297"/>
      <c r="R1185" s="297"/>
      <c r="S1185" s="7"/>
      <c r="V1185" t="s">
        <v>3136</v>
      </c>
    </row>
    <row r="1186" spans="3:28" x14ac:dyDescent="0.35">
      <c r="D1186" t="s">
        <v>3122</v>
      </c>
      <c r="E1186" s="295"/>
      <c r="F1186" s="9">
        <v>0.1</v>
      </c>
      <c r="G1186" s="316" t="s">
        <v>3123</v>
      </c>
      <c r="H1186" s="8"/>
      <c r="I1186" s="73">
        <v>100</v>
      </c>
      <c r="J1186">
        <v>12</v>
      </c>
      <c r="L1186" s="412"/>
      <c r="P1186" s="316" t="s">
        <v>3207</v>
      </c>
      <c r="R1186" s="1" t="s">
        <v>3121</v>
      </c>
      <c r="S1186" s="1"/>
      <c r="T1186" t="s">
        <v>0</v>
      </c>
      <c r="W1186" t="s">
        <v>3132</v>
      </c>
    </row>
    <row r="1187" spans="3:28" x14ac:dyDescent="0.35">
      <c r="D1187" t="s">
        <v>3128</v>
      </c>
      <c r="E1187" s="295"/>
      <c r="F1187" s="9">
        <v>0.17</v>
      </c>
      <c r="G1187" s="316" t="s">
        <v>3129</v>
      </c>
      <c r="H1187" s="8"/>
      <c r="I1187" s="73">
        <v>100</v>
      </c>
      <c r="J1187">
        <v>12</v>
      </c>
      <c r="L1187" s="412"/>
      <c r="P1187" s="316" t="s">
        <v>3130</v>
      </c>
      <c r="R1187" s="1" t="s">
        <v>3127</v>
      </c>
      <c r="S1187" s="1"/>
      <c r="T1187" t="s">
        <v>0</v>
      </c>
      <c r="V1187" t="s">
        <v>3138</v>
      </c>
    </row>
    <row r="1188" spans="3:28" x14ac:dyDescent="0.35">
      <c r="D1188" t="s">
        <v>3133</v>
      </c>
      <c r="E1188" s="295"/>
      <c r="F1188" s="9">
        <v>0.25</v>
      </c>
      <c r="G1188" s="316" t="s">
        <v>3134</v>
      </c>
      <c r="H1188" s="8"/>
      <c r="I1188" s="73">
        <v>100</v>
      </c>
      <c r="J1188">
        <v>30</v>
      </c>
      <c r="L1188" s="412"/>
      <c r="P1188" s="316" t="s">
        <v>3208</v>
      </c>
      <c r="R1188" s="1" t="s">
        <v>3135</v>
      </c>
      <c r="S1188" s="1"/>
      <c r="T1188" t="s">
        <v>0</v>
      </c>
      <c r="W1188" t="s">
        <v>3137</v>
      </c>
    </row>
    <row r="1189" spans="3:28" x14ac:dyDescent="0.35">
      <c r="D1189" t="s">
        <v>3140</v>
      </c>
      <c r="E1189" s="295"/>
      <c r="F1189" s="9">
        <v>0.61</v>
      </c>
      <c r="G1189" s="316" t="s">
        <v>3141</v>
      </c>
      <c r="H1189" s="8"/>
      <c r="I1189" s="73">
        <v>100</v>
      </c>
      <c r="J1189">
        <v>30</v>
      </c>
      <c r="L1189" s="412"/>
      <c r="P1189" s="316" t="s">
        <v>3209</v>
      </c>
      <c r="R1189" s="1" t="s">
        <v>3139</v>
      </c>
      <c r="S1189" s="1"/>
      <c r="T1189" t="s">
        <v>0</v>
      </c>
      <c r="V1189" t="s">
        <v>3146</v>
      </c>
    </row>
    <row r="1190" spans="3:28" x14ac:dyDescent="0.35">
      <c r="E1190" s="295"/>
      <c r="F1190" s="9"/>
      <c r="G1190" s="316"/>
      <c r="H1190" s="8"/>
      <c r="I1190" s="73"/>
      <c r="L1190" s="412"/>
      <c r="R1190" s="1"/>
      <c r="S1190" s="1"/>
    </row>
    <row r="1191" spans="3:28" x14ac:dyDescent="0.35">
      <c r="D1191" s="401" t="s">
        <v>6882</v>
      </c>
      <c r="E1191" s="295"/>
      <c r="F1191" s="9"/>
      <c r="G1191" s="316"/>
      <c r="H1191" s="8"/>
      <c r="I1191" s="73"/>
      <c r="L1191" s="412"/>
      <c r="R1191" s="1"/>
      <c r="S1191" s="1"/>
    </row>
    <row r="1192" spans="3:28" x14ac:dyDescent="0.35">
      <c r="D1192" t="s">
        <v>4038</v>
      </c>
      <c r="E1192" s="295"/>
      <c r="F1192" s="9">
        <v>0.04</v>
      </c>
      <c r="G1192" s="316" t="s">
        <v>8032</v>
      </c>
      <c r="H1192" s="8"/>
      <c r="I1192" s="73">
        <v>100</v>
      </c>
      <c r="J1192">
        <v>2.5</v>
      </c>
      <c r="K1192">
        <v>2.5000000000000001E-2</v>
      </c>
      <c r="L1192" s="412">
        <v>5.9</v>
      </c>
      <c r="M1192" s="295" t="s">
        <v>4047</v>
      </c>
      <c r="P1192" s="316" t="s">
        <v>4046</v>
      </c>
      <c r="R1192" s="1" t="s">
        <v>4040</v>
      </c>
      <c r="S1192" s="1"/>
      <c r="T1192" t="s">
        <v>0</v>
      </c>
    </row>
    <row r="1193" spans="3:28" x14ac:dyDescent="0.35">
      <c r="C1193" s="351" t="s">
        <v>3063</v>
      </c>
      <c r="D1193" t="s">
        <v>4042</v>
      </c>
      <c r="E1193" s="295"/>
      <c r="F1193" s="9">
        <v>0.08</v>
      </c>
      <c r="G1193" s="316" t="s">
        <v>8031</v>
      </c>
      <c r="H1193" s="8"/>
      <c r="I1193" s="73">
        <v>100</v>
      </c>
      <c r="J1193">
        <v>50</v>
      </c>
      <c r="K1193">
        <v>1</v>
      </c>
      <c r="L1193" s="412">
        <v>3.7</v>
      </c>
      <c r="M1193" s="295" t="s">
        <v>4045</v>
      </c>
      <c r="O1193">
        <v>70</v>
      </c>
      <c r="P1193" s="316" t="s">
        <v>5091</v>
      </c>
      <c r="R1193" s="1" t="s">
        <v>4041</v>
      </c>
      <c r="S1193" s="1"/>
      <c r="T1193" s="295" t="s">
        <v>8134</v>
      </c>
      <c r="V1193" s="1" t="s">
        <v>4054</v>
      </c>
      <c r="X1193" t="s">
        <v>0</v>
      </c>
    </row>
    <row r="1194" spans="3:28" x14ac:dyDescent="0.35">
      <c r="C1194" s="351"/>
      <c r="D1194" t="s">
        <v>5090</v>
      </c>
      <c r="E1194" s="295"/>
      <c r="F1194" s="9">
        <v>0.03</v>
      </c>
      <c r="G1194" s="316" t="s">
        <v>8032</v>
      </c>
      <c r="H1194" s="8"/>
      <c r="I1194" s="492">
        <v>30</v>
      </c>
      <c r="J1194">
        <v>3.5</v>
      </c>
      <c r="K1194">
        <v>0.5</v>
      </c>
      <c r="L1194" s="508" t="s">
        <v>4309</v>
      </c>
      <c r="M1194" s="295" t="s">
        <v>5093</v>
      </c>
      <c r="O1194">
        <v>70</v>
      </c>
      <c r="P1194" s="316" t="s">
        <v>5092</v>
      </c>
      <c r="R1194" s="1" t="s">
        <v>5089</v>
      </c>
      <c r="S1194" s="1"/>
      <c r="T1194" s="295" t="s">
        <v>8135</v>
      </c>
      <c r="V1194" s="1"/>
    </row>
    <row r="1195" spans="3:28" x14ac:dyDescent="0.35">
      <c r="C1195" s="351"/>
      <c r="E1195" s="295"/>
      <c r="F1195" s="9"/>
      <c r="G1195" s="316"/>
      <c r="H1195" s="8"/>
      <c r="I1195" s="73"/>
      <c r="L1195" s="412"/>
      <c r="M1195" s="295"/>
      <c r="P1195" s="316"/>
      <c r="R1195" s="1"/>
      <c r="S1195" s="1"/>
    </row>
    <row r="1196" spans="3:28" x14ac:dyDescent="0.35">
      <c r="D1196" s="401" t="s">
        <v>3206</v>
      </c>
      <c r="F1196" s="9"/>
      <c r="G1196" s="295"/>
      <c r="H1196" s="186"/>
      <c r="I1196" s="316"/>
      <c r="J1196" s="8"/>
      <c r="L1196" s="412"/>
      <c r="Q1196" s="295"/>
      <c r="T1196" s="1"/>
      <c r="U1196" s="1"/>
    </row>
    <row r="1197" spans="3:28" x14ac:dyDescent="0.35">
      <c r="D1197" t="s">
        <v>3211</v>
      </c>
      <c r="E1197" s="295"/>
      <c r="F1197" s="9">
        <v>0.53</v>
      </c>
      <c r="G1197" s="316" t="s">
        <v>3212</v>
      </c>
      <c r="H1197" s="8"/>
      <c r="I1197" s="73">
        <v>200</v>
      </c>
      <c r="J1197">
        <v>35</v>
      </c>
      <c r="L1197" s="412"/>
      <c r="P1197" s="316" t="s">
        <v>3213</v>
      </c>
      <c r="R1197" s="1" t="s">
        <v>3210</v>
      </c>
      <c r="S1197" s="1"/>
      <c r="T1197" t="s">
        <v>0</v>
      </c>
    </row>
    <row r="1198" spans="3:28" x14ac:dyDescent="0.35">
      <c r="F1198" s="9"/>
      <c r="G1198" s="295"/>
      <c r="H1198" s="186"/>
      <c r="I1198" s="316"/>
      <c r="J1198" s="8"/>
      <c r="L1198" s="412"/>
      <c r="P1198" s="73"/>
      <c r="T1198" s="1"/>
      <c r="U1198" s="1"/>
    </row>
    <row r="1199" spans="3:28" x14ac:dyDescent="0.35">
      <c r="D1199" s="401" t="s">
        <v>3103</v>
      </c>
      <c r="E1199" s="295"/>
      <c r="F1199" s="9"/>
      <c r="L1199" s="412"/>
      <c r="T1199" s="1"/>
      <c r="V1199" t="s">
        <v>3216</v>
      </c>
    </row>
    <row r="1200" spans="3:28" x14ac:dyDescent="0.35">
      <c r="D1200" t="s">
        <v>3104</v>
      </c>
      <c r="E1200" s="295"/>
      <c r="F1200" s="336">
        <v>2.92</v>
      </c>
      <c r="G1200" s="73"/>
      <c r="I1200" s="73">
        <v>600</v>
      </c>
      <c r="J1200" s="73">
        <v>30</v>
      </c>
      <c r="L1200" s="412"/>
      <c r="T1200" t="s">
        <v>0</v>
      </c>
      <c r="V1200" t="s">
        <v>3215</v>
      </c>
      <c r="AB1200" s="1" t="s">
        <v>3214</v>
      </c>
    </row>
    <row r="1201" spans="2:25" x14ac:dyDescent="0.35">
      <c r="D1201" t="s">
        <v>3125</v>
      </c>
      <c r="E1201" s="295"/>
      <c r="F1201" s="336">
        <v>0.17</v>
      </c>
      <c r="G1201" s="316" t="s">
        <v>3126</v>
      </c>
      <c r="I1201" s="73"/>
      <c r="J1201" s="73"/>
      <c r="L1201" s="412"/>
      <c r="R1201" s="1" t="s">
        <v>3124</v>
      </c>
      <c r="T1201" t="s">
        <v>0</v>
      </c>
    </row>
    <row r="1202" spans="2:25" x14ac:dyDescent="0.35">
      <c r="D1202" t="s">
        <v>3148</v>
      </c>
      <c r="E1202" s="295"/>
      <c r="F1202" s="336">
        <v>0.17</v>
      </c>
      <c r="G1202" s="316" t="s">
        <v>3150</v>
      </c>
      <c r="I1202" s="73">
        <v>600</v>
      </c>
      <c r="J1202" s="73">
        <v>1</v>
      </c>
      <c r="L1202" s="412"/>
      <c r="P1202" s="295" t="s">
        <v>3149</v>
      </c>
      <c r="R1202" s="1" t="s">
        <v>3147</v>
      </c>
      <c r="T1202" t="s">
        <v>0</v>
      </c>
    </row>
    <row r="1203" spans="2:25" x14ac:dyDescent="0.35">
      <c r="F1203" s="9"/>
      <c r="G1203" s="295"/>
      <c r="H1203" s="8"/>
      <c r="I1203" s="73"/>
      <c r="K1203" s="73"/>
      <c r="L1203" s="73"/>
      <c r="P1203" s="1"/>
    </row>
    <row r="1204" spans="2:25" x14ac:dyDescent="0.35">
      <c r="B1204" s="83" t="s">
        <v>5811</v>
      </c>
      <c r="C1204" s="351"/>
      <c r="E1204" s="295"/>
      <c r="F1204" s="315"/>
      <c r="G1204" s="316"/>
      <c r="I1204" s="316"/>
      <c r="J1204" s="316"/>
      <c r="M1204" s="316"/>
      <c r="N1204" s="313"/>
      <c r="P1204" s="314"/>
      <c r="Q1204" s="316"/>
    </row>
    <row r="1205" spans="2:25" ht="28" customHeight="1" x14ac:dyDescent="0.35">
      <c r="C1205" s="351"/>
      <c r="D1205" s="123" t="s">
        <v>2956</v>
      </c>
      <c r="E1205" s="295"/>
      <c r="F1205" s="123" t="s">
        <v>620</v>
      </c>
      <c r="G1205" s="123" t="s">
        <v>2978</v>
      </c>
      <c r="H1205" s="8"/>
      <c r="I1205" s="123" t="s">
        <v>3105</v>
      </c>
      <c r="J1205" s="123" t="s">
        <v>4778</v>
      </c>
      <c r="K1205" s="123" t="s">
        <v>4043</v>
      </c>
      <c r="L1205" s="123" t="s">
        <v>4037</v>
      </c>
      <c r="M1205" s="123" t="s">
        <v>4044</v>
      </c>
      <c r="O1205" s="123" t="s">
        <v>4053</v>
      </c>
      <c r="P1205" s="123" t="s">
        <v>4779</v>
      </c>
      <c r="R1205" s="123" t="s">
        <v>2961</v>
      </c>
      <c r="T1205" s="123" t="s">
        <v>4228</v>
      </c>
    </row>
    <row r="1206" spans="2:25" x14ac:dyDescent="0.35">
      <c r="C1206" s="351"/>
      <c r="E1206" s="295"/>
      <c r="F1206" s="185"/>
      <c r="G1206" s="316"/>
      <c r="H1206" s="8"/>
      <c r="I1206" s="488"/>
      <c r="R1206" s="1"/>
      <c r="S1206" s="1"/>
      <c r="T1206" s="314"/>
    </row>
    <row r="1207" spans="2:25" x14ac:dyDescent="0.35">
      <c r="C1207" s="537"/>
      <c r="D1207" s="401" t="s">
        <v>5810</v>
      </c>
      <c r="F1207" s="9"/>
      <c r="G1207" s="316"/>
      <c r="H1207" s="8"/>
      <c r="I1207" s="73"/>
      <c r="L1207" s="412"/>
      <c r="M1207" s="295"/>
      <c r="P1207" s="316"/>
      <c r="R1207" s="1"/>
      <c r="S1207" s="1"/>
    </row>
    <row r="1208" spans="2:25" x14ac:dyDescent="0.35">
      <c r="C1208" s="351" t="s">
        <v>3063</v>
      </c>
      <c r="D1208" t="s">
        <v>4197</v>
      </c>
      <c r="E1208" s="295"/>
      <c r="F1208" s="185">
        <v>4.7E-2</v>
      </c>
      <c r="G1208" s="316" t="s">
        <v>4776</v>
      </c>
      <c r="H1208" s="8"/>
      <c r="I1208" s="73">
        <v>100</v>
      </c>
      <c r="J1208" s="13">
        <v>1</v>
      </c>
      <c r="K1208">
        <v>0.2</v>
      </c>
      <c r="L1208" s="412">
        <v>6</v>
      </c>
      <c r="M1208" s="295" t="s">
        <v>8039</v>
      </c>
      <c r="O1208">
        <v>2</v>
      </c>
      <c r="P1208" s="316" t="s">
        <v>4052</v>
      </c>
      <c r="R1208" s="1" t="s">
        <v>4198</v>
      </c>
      <c r="S1208" s="1"/>
      <c r="T1208" s="314" t="s">
        <v>8041</v>
      </c>
    </row>
    <row r="1209" spans="2:25" x14ac:dyDescent="0.35">
      <c r="D1209" t="s">
        <v>4775</v>
      </c>
      <c r="E1209" s="295"/>
      <c r="F1209" s="185">
        <v>0.06</v>
      </c>
      <c r="G1209" s="316" t="s">
        <v>4780</v>
      </c>
      <c r="H1209" s="8"/>
      <c r="I1209" s="492">
        <v>250</v>
      </c>
      <c r="J1209">
        <v>0.6</v>
      </c>
      <c r="K1209">
        <v>0.2</v>
      </c>
      <c r="L1209" s="491">
        <v>50</v>
      </c>
      <c r="M1209" s="295" t="s">
        <v>8040</v>
      </c>
      <c r="O1209">
        <v>5</v>
      </c>
      <c r="P1209" s="316" t="s">
        <v>4777</v>
      </c>
      <c r="R1209" s="1" t="s">
        <v>4774</v>
      </c>
      <c r="S1209" s="1"/>
      <c r="T1209" s="314" t="s">
        <v>8042</v>
      </c>
      <c r="X1209" t="s">
        <v>3145</v>
      </c>
    </row>
    <row r="1210" spans="2:25" x14ac:dyDescent="0.35">
      <c r="E1210" s="295"/>
      <c r="F1210" s="185"/>
      <c r="G1210" s="316"/>
      <c r="H1210" s="8"/>
      <c r="I1210" s="492"/>
      <c r="L1210" s="491"/>
      <c r="M1210" s="295"/>
      <c r="P1210" s="316"/>
      <c r="R1210" s="1"/>
      <c r="S1210" s="1"/>
      <c r="T1210" s="314"/>
    </row>
    <row r="1211" spans="2:25" x14ac:dyDescent="0.35">
      <c r="C1211" s="83"/>
      <c r="D1211" s="401" t="s">
        <v>6596</v>
      </c>
      <c r="F1211" s="185"/>
    </row>
    <row r="1212" spans="2:25" x14ac:dyDescent="0.35">
      <c r="D1212" t="s">
        <v>6595</v>
      </c>
      <c r="E1212" s="295"/>
      <c r="F1212" s="185">
        <v>1.2999999999999999E-2</v>
      </c>
      <c r="G1212" s="316" t="s">
        <v>6598</v>
      </c>
      <c r="H1212" s="8"/>
      <c r="I1212" s="488" t="s">
        <v>5813</v>
      </c>
      <c r="K1212" s="73"/>
      <c r="L1212" s="73"/>
      <c r="Q1212" s="1"/>
      <c r="R1212" s="1" t="s">
        <v>5812</v>
      </c>
      <c r="T1212" s="314" t="s">
        <v>6448</v>
      </c>
    </row>
    <row r="1213" spans="2:25" x14ac:dyDescent="0.35">
      <c r="D1213" t="s">
        <v>6594</v>
      </c>
      <c r="E1213" s="295"/>
      <c r="F1213" s="185">
        <v>1.4E-2</v>
      </c>
      <c r="G1213" s="316" t="s">
        <v>6597</v>
      </c>
      <c r="H1213" s="8"/>
      <c r="I1213" s="488" t="s">
        <v>5813</v>
      </c>
      <c r="K1213" s="73"/>
      <c r="L1213" s="73"/>
      <c r="Q1213" s="1"/>
      <c r="R1213" s="1"/>
      <c r="T1213" s="314"/>
    </row>
    <row r="1214" spans="2:25" x14ac:dyDescent="0.35">
      <c r="C1214" s="351" t="s">
        <v>3063</v>
      </c>
      <c r="D1214" t="s">
        <v>5500</v>
      </c>
      <c r="E1214" s="295"/>
      <c r="F1214" s="185">
        <v>0.02</v>
      </c>
      <c r="G1214" s="316" t="s">
        <v>6598</v>
      </c>
      <c r="H1214" s="8"/>
      <c r="I1214" s="488" t="s">
        <v>5813</v>
      </c>
      <c r="R1214" s="1" t="s">
        <v>5499</v>
      </c>
      <c r="S1214" s="1"/>
      <c r="T1214" s="314" t="s">
        <v>8110</v>
      </c>
      <c r="Y1214" t="s">
        <v>8111</v>
      </c>
    </row>
    <row r="1215" spans="2:25" x14ac:dyDescent="0.35">
      <c r="C1215" s="351"/>
      <c r="E1215" s="295"/>
      <c r="F1215" s="185"/>
      <c r="G1215" s="316"/>
      <c r="H1215" s="8"/>
      <c r="I1215" s="488"/>
      <c r="R1215" s="1"/>
      <c r="S1215" s="1"/>
      <c r="T1215" s="314"/>
    </row>
    <row r="1216" spans="2:25" x14ac:dyDescent="0.35">
      <c r="C1216" s="351"/>
      <c r="D1216" s="401" t="s">
        <v>8998</v>
      </c>
      <c r="E1216" s="295"/>
      <c r="F1216" s="185"/>
      <c r="G1216" s="316"/>
      <c r="H1216" s="8"/>
      <c r="I1216" s="488"/>
      <c r="R1216" s="1"/>
      <c r="S1216" s="1"/>
      <c r="T1216" s="314"/>
    </row>
    <row r="1217" spans="2:28" x14ac:dyDescent="0.35">
      <c r="D1217" t="s">
        <v>8989</v>
      </c>
      <c r="E1217" s="295"/>
      <c r="F1217" s="185">
        <v>0.02</v>
      </c>
      <c r="G1217" s="316" t="s">
        <v>6598</v>
      </c>
      <c r="H1217" s="8"/>
      <c r="I1217" s="488">
        <v>75</v>
      </c>
      <c r="J1217" s="10">
        <v>0.15</v>
      </c>
      <c r="L1217">
        <v>4</v>
      </c>
      <c r="M1217" s="295" t="s">
        <v>8991</v>
      </c>
      <c r="O1217">
        <v>2</v>
      </c>
      <c r="P1217" s="316" t="s">
        <v>8990</v>
      </c>
      <c r="R1217" s="1" t="s">
        <v>8988</v>
      </c>
      <c r="S1217" s="1"/>
      <c r="T1217" s="314" t="s">
        <v>0</v>
      </c>
    </row>
    <row r="1218" spans="2:28" x14ac:dyDescent="0.35">
      <c r="C1218" s="351" t="s">
        <v>3063</v>
      </c>
      <c r="D1218" t="s">
        <v>8993</v>
      </c>
      <c r="E1218" s="295"/>
      <c r="F1218" s="185">
        <v>2.5999999999999999E-2</v>
      </c>
      <c r="G1218" s="316" t="s">
        <v>6598</v>
      </c>
      <c r="H1218" s="8"/>
      <c r="I1218" s="488">
        <v>75</v>
      </c>
      <c r="J1218">
        <v>0.22500000000000001</v>
      </c>
      <c r="L1218" s="540" t="s">
        <v>8994</v>
      </c>
      <c r="M1218" s="295" t="s">
        <v>8996</v>
      </c>
      <c r="P1218" s="316" t="s">
        <v>8995</v>
      </c>
      <c r="R1218" s="1" t="s">
        <v>8992</v>
      </c>
      <c r="S1218" s="1"/>
      <c r="T1218" s="314" t="s">
        <v>8997</v>
      </c>
    </row>
    <row r="1219" spans="2:28" x14ac:dyDescent="0.35">
      <c r="C1219" s="351"/>
      <c r="D1219" t="s">
        <v>9000</v>
      </c>
      <c r="E1219" s="295"/>
      <c r="F1219" s="185">
        <v>2.5999999999999999E-2</v>
      </c>
      <c r="G1219" s="316" t="s">
        <v>6859</v>
      </c>
      <c r="H1219" s="8"/>
      <c r="I1219" s="488">
        <v>70</v>
      </c>
      <c r="J1219">
        <v>0.22500000000000001</v>
      </c>
      <c r="L1219" s="540" t="s">
        <v>8994</v>
      </c>
      <c r="M1219" s="295" t="s">
        <v>8996</v>
      </c>
      <c r="O1219">
        <v>2</v>
      </c>
      <c r="P1219" s="316" t="s">
        <v>9001</v>
      </c>
      <c r="R1219" s="1" t="s">
        <v>8999</v>
      </c>
      <c r="S1219" s="1"/>
      <c r="T1219" s="314" t="s">
        <v>9002</v>
      </c>
    </row>
    <row r="1220" spans="2:28" x14ac:dyDescent="0.35">
      <c r="C1220" s="351"/>
      <c r="E1220" s="295"/>
      <c r="F1220" s="185"/>
      <c r="G1220" s="316"/>
      <c r="H1220" s="8"/>
      <c r="I1220" s="488"/>
      <c r="R1220" s="1"/>
      <c r="S1220" s="1"/>
      <c r="T1220" s="314"/>
    </row>
    <row r="1221" spans="2:28" x14ac:dyDescent="0.35">
      <c r="C1221" s="351"/>
      <c r="D1221" s="401" t="s">
        <v>7977</v>
      </c>
      <c r="E1221" s="295"/>
      <c r="F1221" s="185"/>
      <c r="G1221" s="316"/>
      <c r="H1221" s="8"/>
      <c r="I1221" s="488"/>
      <c r="R1221" s="1"/>
      <c r="S1221" s="1"/>
      <c r="T1221" s="314"/>
    </row>
    <row r="1222" spans="2:28" x14ac:dyDescent="0.35">
      <c r="C1222" s="351"/>
      <c r="D1222" t="s">
        <v>8036</v>
      </c>
      <c r="E1222" s="295"/>
      <c r="F1222" s="185">
        <v>1.4E-2</v>
      </c>
      <c r="G1222" s="316" t="s">
        <v>7979</v>
      </c>
      <c r="H1222" s="8"/>
      <c r="I1222" s="73">
        <v>100</v>
      </c>
      <c r="J1222">
        <v>4</v>
      </c>
      <c r="K1222">
        <v>0.2</v>
      </c>
      <c r="L1222">
        <v>4</v>
      </c>
      <c r="M1222" s="295" t="s">
        <v>7985</v>
      </c>
      <c r="O1222">
        <v>1.5</v>
      </c>
      <c r="P1222" s="316" t="s">
        <v>7980</v>
      </c>
      <c r="R1222" s="1" t="s">
        <v>7978</v>
      </c>
      <c r="S1222" s="1"/>
      <c r="T1222" s="314" t="s">
        <v>7983</v>
      </c>
    </row>
    <row r="1223" spans="2:28" x14ac:dyDescent="0.35">
      <c r="C1223" s="351"/>
      <c r="R1223" s="1"/>
      <c r="S1223" s="1"/>
      <c r="T1223" s="314"/>
    </row>
    <row r="1224" spans="2:28" x14ac:dyDescent="0.35">
      <c r="D1224" s="401" t="s">
        <v>7976</v>
      </c>
      <c r="F1224" s="185"/>
      <c r="G1224" s="316"/>
      <c r="M1224" s="295"/>
      <c r="P1224" s="316"/>
      <c r="R1224" s="1"/>
      <c r="T1224" s="314"/>
    </row>
    <row r="1225" spans="2:28" x14ac:dyDescent="0.35">
      <c r="D1225" t="s">
        <v>6600</v>
      </c>
      <c r="F1225" s="9">
        <v>0.02</v>
      </c>
      <c r="G1225" s="316" t="s">
        <v>6859</v>
      </c>
      <c r="I1225">
        <v>30</v>
      </c>
      <c r="K1225">
        <v>0.2</v>
      </c>
      <c r="L1225">
        <v>5</v>
      </c>
      <c r="M1225" s="295" t="s">
        <v>6603</v>
      </c>
      <c r="O1225" s="295" t="s">
        <v>6602</v>
      </c>
      <c r="P1225" s="316" t="s">
        <v>6604</v>
      </c>
      <c r="R1225" s="1" t="s">
        <v>6599</v>
      </c>
      <c r="T1225" s="314" t="s">
        <v>7982</v>
      </c>
      <c r="AA1225" t="s">
        <v>0</v>
      </c>
      <c r="AB1225" t="s">
        <v>6601</v>
      </c>
    </row>
    <row r="1226" spans="2:28" x14ac:dyDescent="0.35">
      <c r="D1226" t="s">
        <v>6880</v>
      </c>
      <c r="F1226" s="9">
        <v>7.0000000000000007E-2</v>
      </c>
      <c r="G1226" s="316" t="s">
        <v>4776</v>
      </c>
      <c r="I1226" s="703" t="s">
        <v>122</v>
      </c>
      <c r="K1226" s="703" t="s">
        <v>122</v>
      </c>
      <c r="L1226" s="703" t="s">
        <v>122</v>
      </c>
      <c r="M1226" s="703" t="s">
        <v>122</v>
      </c>
      <c r="O1226" s="703" t="s">
        <v>122</v>
      </c>
      <c r="P1226" s="316" t="s">
        <v>6881</v>
      </c>
      <c r="R1226" s="1" t="s">
        <v>6879</v>
      </c>
      <c r="T1226" s="314" t="s">
        <v>7981</v>
      </c>
    </row>
    <row r="1227" spans="2:28" x14ac:dyDescent="0.35">
      <c r="T1227" s="314" t="s">
        <v>0</v>
      </c>
    </row>
    <row r="1228" spans="2:28" ht="24.5" x14ac:dyDescent="0.35">
      <c r="B1228" s="83" t="s">
        <v>4226</v>
      </c>
      <c r="D1228" s="123" t="s">
        <v>2956</v>
      </c>
      <c r="E1228" s="295"/>
      <c r="F1228" s="123" t="s">
        <v>620</v>
      </c>
      <c r="G1228" s="123" t="s">
        <v>2978</v>
      </c>
      <c r="I1228" s="123" t="s">
        <v>4</v>
      </c>
      <c r="J1228" s="123" t="s">
        <v>3119</v>
      </c>
      <c r="K1228" s="123" t="s">
        <v>3118</v>
      </c>
      <c r="L1228" s="123" t="s">
        <v>4005</v>
      </c>
      <c r="M1228" s="123" t="s">
        <v>3116</v>
      </c>
      <c r="N1228" s="123" t="s">
        <v>3117</v>
      </c>
      <c r="O1228" s="123" t="s">
        <v>4053</v>
      </c>
      <c r="P1228" s="123" t="s">
        <v>4228</v>
      </c>
      <c r="Q1228" s="123" t="s">
        <v>2961</v>
      </c>
      <c r="R1228" s="4"/>
      <c r="S1228" s="1"/>
    </row>
    <row r="1229" spans="2:28" x14ac:dyDescent="0.35">
      <c r="C1229" s="351" t="s">
        <v>3063</v>
      </c>
      <c r="D1229" t="s">
        <v>6315</v>
      </c>
      <c r="E1229" s="295"/>
      <c r="F1229" s="315">
        <v>0.1</v>
      </c>
      <c r="G1229" s="316" t="s">
        <v>4000</v>
      </c>
      <c r="I1229" s="12">
        <v>3</v>
      </c>
      <c r="J1229">
        <v>18</v>
      </c>
      <c r="K1229">
        <v>82</v>
      </c>
      <c r="L1229">
        <v>160</v>
      </c>
      <c r="M1229" s="316" t="s">
        <v>6316</v>
      </c>
      <c r="N1229" s="316" t="s">
        <v>8063</v>
      </c>
      <c r="P1229" s="295" t="s">
        <v>8049</v>
      </c>
      <c r="Q1229" s="1" t="s">
        <v>6314</v>
      </c>
      <c r="S1229" t="s">
        <v>0</v>
      </c>
      <c r="T1229" t="s">
        <v>4006</v>
      </c>
    </row>
    <row r="1230" spans="2:28" x14ac:dyDescent="0.35">
      <c r="C1230" s="351"/>
      <c r="D1230" t="s">
        <v>4002</v>
      </c>
      <c r="E1230" s="295"/>
      <c r="F1230" s="315">
        <v>0.05</v>
      </c>
      <c r="G1230" s="316" t="s">
        <v>4004</v>
      </c>
      <c r="I1230" s="12">
        <v>1</v>
      </c>
      <c r="K1230">
        <v>82</v>
      </c>
      <c r="L1230">
        <v>200</v>
      </c>
      <c r="M1230" s="316" t="s">
        <v>4003</v>
      </c>
      <c r="N1230" s="316" t="s">
        <v>8062</v>
      </c>
      <c r="P1230" s="295"/>
      <c r="Q1230" s="1" t="s">
        <v>4001</v>
      </c>
      <c r="S1230" t="s">
        <v>0</v>
      </c>
      <c r="T1230" t="s">
        <v>4007</v>
      </c>
    </row>
    <row r="1231" spans="2:28" x14ac:dyDescent="0.35">
      <c r="C1231" s="351" t="s">
        <v>3063</v>
      </c>
      <c r="D1231" t="s">
        <v>6322</v>
      </c>
      <c r="E1231" s="295"/>
      <c r="F1231" s="332">
        <v>1.2999999999999999E-2</v>
      </c>
      <c r="G1231" s="316" t="s">
        <v>4216</v>
      </c>
      <c r="I1231" s="12">
        <v>0.22500000000000001</v>
      </c>
      <c r="J1231">
        <v>10</v>
      </c>
      <c r="K1231">
        <v>13</v>
      </c>
      <c r="L1231">
        <v>20</v>
      </c>
      <c r="M1231" s="316" t="s">
        <v>8050</v>
      </c>
      <c r="N1231" s="316" t="s">
        <v>8056</v>
      </c>
      <c r="O1231">
        <v>100</v>
      </c>
      <c r="P1231" s="295" t="s">
        <v>8045</v>
      </c>
      <c r="Q1231" s="1" t="s">
        <v>4227</v>
      </c>
      <c r="S1231" t="s">
        <v>0</v>
      </c>
    </row>
    <row r="1232" spans="2:28" x14ac:dyDescent="0.35">
      <c r="C1232" s="351" t="s">
        <v>3063</v>
      </c>
      <c r="D1232" t="s">
        <v>6323</v>
      </c>
      <c r="E1232" s="295"/>
      <c r="F1232" s="332">
        <v>1.2999999999999999E-2</v>
      </c>
      <c r="G1232" s="316" t="s">
        <v>122</v>
      </c>
      <c r="I1232" s="703" t="s">
        <v>122</v>
      </c>
      <c r="J1232" s="313"/>
      <c r="K1232">
        <v>18</v>
      </c>
      <c r="L1232" s="313" t="s">
        <v>122</v>
      </c>
      <c r="M1232" s="316" t="s">
        <v>8051</v>
      </c>
      <c r="N1232" s="316" t="s">
        <v>8057</v>
      </c>
      <c r="O1232" s="313" t="s">
        <v>122</v>
      </c>
      <c r="P1232" s="295" t="s">
        <v>8046</v>
      </c>
      <c r="Q1232" s="316"/>
    </row>
    <row r="1233" spans="2:28" x14ac:dyDescent="0.35">
      <c r="C1233" s="351"/>
      <c r="D1233" t="s">
        <v>6324</v>
      </c>
      <c r="E1233" s="295"/>
      <c r="F1233" s="332">
        <v>1.2999999999999999E-2</v>
      </c>
      <c r="G1233" s="316" t="s">
        <v>122</v>
      </c>
      <c r="I1233" s="703" t="s">
        <v>122</v>
      </c>
      <c r="J1233" s="313"/>
      <c r="K1233">
        <v>24</v>
      </c>
      <c r="L1233" s="313" t="s">
        <v>122</v>
      </c>
      <c r="M1233" s="316" t="s">
        <v>8052</v>
      </c>
      <c r="N1233" s="316" t="s">
        <v>8058</v>
      </c>
      <c r="O1233" s="313" t="s">
        <v>122</v>
      </c>
      <c r="P1233" s="314" t="s">
        <v>8047</v>
      </c>
      <c r="Q1233" s="316"/>
    </row>
    <row r="1234" spans="2:28" x14ac:dyDescent="0.35">
      <c r="C1234" s="351"/>
      <c r="D1234" s="155" t="s">
        <v>6325</v>
      </c>
      <c r="E1234" s="295"/>
      <c r="F1234" s="332">
        <v>1.2999999999999999E-2</v>
      </c>
      <c r="G1234" s="316" t="s">
        <v>122</v>
      </c>
      <c r="I1234" s="703" t="s">
        <v>122</v>
      </c>
      <c r="J1234" s="313"/>
      <c r="K1234">
        <v>30</v>
      </c>
      <c r="L1234" s="313" t="s">
        <v>122</v>
      </c>
      <c r="M1234" s="316" t="s">
        <v>8053</v>
      </c>
      <c r="N1234" s="316" t="s">
        <v>8059</v>
      </c>
      <c r="O1234" s="313" t="s">
        <v>122</v>
      </c>
      <c r="P1234" s="314" t="s">
        <v>8048</v>
      </c>
      <c r="Q1234" s="316"/>
    </row>
    <row r="1235" spans="2:28" x14ac:dyDescent="0.35">
      <c r="C1235" s="351" t="s">
        <v>3063</v>
      </c>
      <c r="D1235" t="s">
        <v>6328</v>
      </c>
      <c r="E1235" s="295"/>
      <c r="F1235" s="315">
        <v>0.03</v>
      </c>
      <c r="G1235" s="316" t="s">
        <v>122</v>
      </c>
      <c r="I1235" s="703" t="s">
        <v>122</v>
      </c>
      <c r="J1235" s="313"/>
      <c r="K1235">
        <v>43</v>
      </c>
      <c r="L1235" s="313" t="s">
        <v>122</v>
      </c>
      <c r="M1235" s="316" t="s">
        <v>8054</v>
      </c>
      <c r="N1235" s="316" t="s">
        <v>8060</v>
      </c>
      <c r="O1235" s="313" t="s">
        <v>122</v>
      </c>
      <c r="P1235" s="314" t="s">
        <v>8044</v>
      </c>
      <c r="Q1235" s="1" t="s">
        <v>6321</v>
      </c>
      <c r="S1235" t="s">
        <v>0</v>
      </c>
    </row>
    <row r="1236" spans="2:28" x14ac:dyDescent="0.35">
      <c r="C1236" s="351"/>
      <c r="D1236" t="s">
        <v>6318</v>
      </c>
      <c r="E1236" s="295"/>
      <c r="F1236" s="315">
        <v>2.3E-2</v>
      </c>
      <c r="G1236" s="316" t="s">
        <v>6319</v>
      </c>
      <c r="I1236" s="12">
        <v>0.36499999999999999</v>
      </c>
      <c r="J1236" s="313"/>
      <c r="K1236">
        <v>33</v>
      </c>
      <c r="L1236" s="313"/>
      <c r="M1236" s="316" t="s">
        <v>8055</v>
      </c>
      <c r="N1236" s="316" t="s">
        <v>8061</v>
      </c>
      <c r="O1236">
        <v>60</v>
      </c>
      <c r="P1236" s="314" t="s">
        <v>8043</v>
      </c>
      <c r="Q1236" s="316"/>
      <c r="T1236" t="s">
        <v>6320</v>
      </c>
    </row>
    <row r="1237" spans="2:28" x14ac:dyDescent="0.35">
      <c r="C1237" s="351"/>
      <c r="D1237" t="s">
        <v>5582</v>
      </c>
      <c r="E1237" s="295"/>
      <c r="F1237" s="315"/>
      <c r="G1237" s="316"/>
      <c r="I1237" s="316"/>
      <c r="J1237" s="316"/>
      <c r="M1237" s="316"/>
      <c r="N1237" s="1" t="s">
        <v>5581</v>
      </c>
      <c r="O1237" s="313" t="s">
        <v>0</v>
      </c>
      <c r="P1237" s="314"/>
      <c r="Q1237" s="316"/>
    </row>
    <row r="1238" spans="2:28" x14ac:dyDescent="0.35">
      <c r="C1238" s="351"/>
      <c r="D1238" t="s">
        <v>5583</v>
      </c>
      <c r="E1238" s="295"/>
      <c r="F1238" s="315"/>
      <c r="G1238" s="316"/>
      <c r="I1238" s="316"/>
      <c r="J1238" s="316"/>
      <c r="M1238" s="316"/>
      <c r="N1238" s="1" t="s">
        <v>5581</v>
      </c>
      <c r="O1238" s="313" t="s">
        <v>0</v>
      </c>
      <c r="P1238" s="314"/>
      <c r="Q1238" s="316"/>
    </row>
    <row r="1239" spans="2:28" x14ac:dyDescent="0.35">
      <c r="C1239" s="351"/>
      <c r="E1239" s="295"/>
      <c r="F1239" s="315"/>
      <c r="G1239" s="316"/>
      <c r="I1239" s="316"/>
      <c r="J1239" s="316"/>
      <c r="M1239" s="316"/>
      <c r="N1239" s="1"/>
      <c r="O1239" s="313"/>
      <c r="P1239" s="314"/>
      <c r="Q1239" s="316"/>
    </row>
    <row r="1240" spans="2:28" ht="24.5" x14ac:dyDescent="0.35">
      <c r="B1240" s="83" t="s">
        <v>2991</v>
      </c>
      <c r="D1240" s="123" t="s">
        <v>2956</v>
      </c>
      <c r="E1240" s="4"/>
      <c r="F1240" s="123" t="s">
        <v>620</v>
      </c>
      <c r="G1240" s="123" t="s">
        <v>2977</v>
      </c>
      <c r="H1240" s="123" t="s">
        <v>2950</v>
      </c>
      <c r="I1240" s="4"/>
      <c r="J1240" s="123" t="s">
        <v>2982</v>
      </c>
      <c r="K1240" s="123" t="s">
        <v>2983</v>
      </c>
      <c r="L1240" s="123" t="s">
        <v>2979</v>
      </c>
      <c r="M1240" s="123" t="s">
        <v>2978</v>
      </c>
      <c r="N1240" s="4"/>
      <c r="O1240" s="123" t="s">
        <v>4228</v>
      </c>
      <c r="P1240" s="4"/>
      <c r="Q1240" s="123" t="s">
        <v>3181</v>
      </c>
      <c r="R1240" s="123" t="s">
        <v>3187</v>
      </c>
      <c r="S1240" s="123" t="s">
        <v>2980</v>
      </c>
      <c r="T1240" s="123" t="s">
        <v>2961</v>
      </c>
    </row>
    <row r="1241" spans="2:28" x14ac:dyDescent="0.35">
      <c r="D1241" s="325" t="s">
        <v>6543</v>
      </c>
      <c r="E1241" s="7"/>
      <c r="F1241" s="323">
        <v>0.21</v>
      </c>
      <c r="G1241" s="668">
        <v>5.0000000000000001E-4</v>
      </c>
      <c r="H1241" s="659">
        <v>10</v>
      </c>
      <c r="I1241" s="7"/>
      <c r="J1241" s="318">
        <v>75</v>
      </c>
      <c r="K1241" s="318">
        <v>150</v>
      </c>
      <c r="L1241" s="318">
        <v>6.3E-2</v>
      </c>
      <c r="M1241" s="416" t="str">
        <f>"0603"</f>
        <v>0603</v>
      </c>
      <c r="N1241" s="318"/>
      <c r="O1241" s="316" t="s">
        <v>7735</v>
      </c>
      <c r="Q1241" s="318">
        <v>50</v>
      </c>
      <c r="R1241" s="324">
        <f>H1241*Q1241*0.000001</f>
        <v>5.0000000000000001E-4</v>
      </c>
      <c r="S1241" s="321">
        <f>G1241+R1241</f>
        <v>1E-3</v>
      </c>
      <c r="T1241" s="1" t="s">
        <v>6542</v>
      </c>
      <c r="V1241" t="s">
        <v>0</v>
      </c>
    </row>
    <row r="1242" spans="2:28" x14ac:dyDescent="0.35">
      <c r="E1242" s="7"/>
      <c r="F1242" s="297"/>
      <c r="G1242" s="297"/>
      <c r="H1242" s="297"/>
      <c r="I1242" s="7"/>
      <c r="J1242" s="297"/>
      <c r="K1242" s="297"/>
      <c r="L1242" s="297"/>
      <c r="M1242" s="297"/>
      <c r="N1242" s="7"/>
      <c r="O1242" s="297"/>
      <c r="P1242" s="7"/>
      <c r="Q1242" s="297"/>
      <c r="R1242" s="297"/>
      <c r="S1242" s="297"/>
      <c r="T1242" s="297"/>
    </row>
    <row r="1243" spans="2:28" x14ac:dyDescent="0.35">
      <c r="C1243" s="351" t="s">
        <v>3063</v>
      </c>
      <c r="D1243" s="325" t="s">
        <v>2984</v>
      </c>
      <c r="E1243" s="318"/>
      <c r="F1243" s="323">
        <v>3.6999999999999998E-2</v>
      </c>
      <c r="G1243" s="656">
        <v>1E-3</v>
      </c>
      <c r="H1243" s="318">
        <v>25</v>
      </c>
      <c r="I1243" s="318"/>
      <c r="J1243" s="318">
        <v>75</v>
      </c>
      <c r="K1243" s="318">
        <v>150</v>
      </c>
      <c r="L1243" s="318">
        <v>6.3E-2</v>
      </c>
      <c r="M1243" s="416" t="str">
        <f>"0603"</f>
        <v>0603</v>
      </c>
      <c r="N1243" s="318"/>
      <c r="O1243" s="316" t="s">
        <v>7728</v>
      </c>
      <c r="Q1243" s="318">
        <v>50</v>
      </c>
      <c r="R1243" s="324">
        <f>H1243*Q1243*0.000001</f>
        <v>1.25E-3</v>
      </c>
      <c r="S1243" s="321">
        <f>G1243+R1243</f>
        <v>2.2500000000000003E-3</v>
      </c>
      <c r="T1243" s="1" t="s">
        <v>2981</v>
      </c>
      <c r="V1243" t="s">
        <v>0</v>
      </c>
      <c r="X1243" s="12"/>
      <c r="Y1243" s="12"/>
      <c r="Z1243" s="12"/>
      <c r="AA1243" s="12"/>
      <c r="AB1243" s="12"/>
    </row>
    <row r="1244" spans="2:28" x14ac:dyDescent="0.35">
      <c r="D1244" s="326" t="s">
        <v>3178</v>
      </c>
      <c r="E1244" s="318"/>
      <c r="F1244" s="323">
        <v>0.14399999999999999</v>
      </c>
      <c r="G1244" s="657">
        <v>1E-3</v>
      </c>
      <c r="H1244" s="659">
        <v>10</v>
      </c>
      <c r="I1244" s="318"/>
      <c r="J1244" s="318" t="s">
        <v>3919</v>
      </c>
      <c r="K1244" s="318" t="s">
        <v>3919</v>
      </c>
      <c r="L1244" s="318" t="s">
        <v>3919</v>
      </c>
      <c r="M1244" s="318" t="s">
        <v>3919</v>
      </c>
      <c r="O1244" s="316" t="s">
        <v>7736</v>
      </c>
      <c r="Q1244" s="318">
        <v>50</v>
      </c>
      <c r="R1244" s="324">
        <f>H1244*Q1244*0.000001</f>
        <v>5.0000000000000001E-4</v>
      </c>
      <c r="S1244" s="321">
        <f>G1244+R1244</f>
        <v>1.5E-3</v>
      </c>
      <c r="T1244" s="12"/>
      <c r="V1244" s="12"/>
      <c r="W1244" s="12"/>
      <c r="X1244" s="12"/>
      <c r="Y1244" s="12"/>
      <c r="Z1244" s="12"/>
      <c r="AA1244" s="12"/>
      <c r="AB1244" s="12"/>
    </row>
    <row r="1245" spans="2:28" x14ac:dyDescent="0.35">
      <c r="F1245" s="185"/>
    </row>
    <row r="1246" spans="2:28" x14ac:dyDescent="0.35">
      <c r="C1246" s="351" t="s">
        <v>3063</v>
      </c>
      <c r="D1246" s="326" t="s">
        <v>3177</v>
      </c>
      <c r="E1246" s="318"/>
      <c r="F1246" s="323">
        <v>1.0999999999999999E-2</v>
      </c>
      <c r="G1246" s="658">
        <v>5.0000000000000001E-3</v>
      </c>
      <c r="H1246" s="319">
        <v>25</v>
      </c>
      <c r="I1246" s="318"/>
      <c r="J1246" s="318">
        <v>75</v>
      </c>
      <c r="K1246" s="318">
        <v>150</v>
      </c>
      <c r="L1246" s="320">
        <v>6.3E-2</v>
      </c>
      <c r="M1246" s="327" t="str">
        <f>"0603"</f>
        <v>0603</v>
      </c>
      <c r="O1246" s="316" t="s">
        <v>7729</v>
      </c>
      <c r="Q1246" s="318">
        <v>50</v>
      </c>
      <c r="R1246" s="324">
        <f>H1246*Q1246*0.000001</f>
        <v>1.25E-3</v>
      </c>
      <c r="S1246" s="321">
        <f>G1246+R1246</f>
        <v>6.2500000000000003E-3</v>
      </c>
      <c r="T1246" s="12"/>
      <c r="V1246" s="12"/>
      <c r="W1246" s="12"/>
      <c r="X1246" s="12"/>
      <c r="Y1246" s="12"/>
      <c r="Z1246" s="12"/>
      <c r="AA1246" s="12"/>
      <c r="AB1246" s="12"/>
    </row>
    <row r="1247" spans="2:28" x14ac:dyDescent="0.35">
      <c r="D1247" s="326" t="s">
        <v>6407</v>
      </c>
      <c r="E1247" s="318"/>
      <c r="F1247" s="323">
        <v>2.3E-2</v>
      </c>
      <c r="G1247" s="658">
        <v>5.0000000000000001E-3</v>
      </c>
      <c r="H1247" s="660">
        <v>15</v>
      </c>
      <c r="I1247" s="318"/>
      <c r="J1247" s="318" t="s">
        <v>3919</v>
      </c>
      <c r="K1247" s="318" t="s">
        <v>3919</v>
      </c>
      <c r="L1247" s="318" t="s">
        <v>3919</v>
      </c>
      <c r="M1247" s="318" t="s">
        <v>3919</v>
      </c>
      <c r="Q1247" s="318">
        <v>50</v>
      </c>
      <c r="R1247" s="324">
        <f>H1247*Q1247*0.000001</f>
        <v>7.5000000000000002E-4</v>
      </c>
      <c r="S1247" s="321">
        <f>G1247+R1247</f>
        <v>5.7499999999999999E-3</v>
      </c>
      <c r="T1247" s="12"/>
      <c r="V1247" s="12"/>
      <c r="W1247" s="12"/>
      <c r="X1247" s="12"/>
      <c r="Y1247" s="12"/>
      <c r="Z1247" s="12"/>
      <c r="AA1247" s="12"/>
      <c r="AB1247" s="12"/>
    </row>
    <row r="1248" spans="2:28" x14ac:dyDescent="0.35">
      <c r="D1248" s="326" t="s">
        <v>3180</v>
      </c>
      <c r="E1248" s="318"/>
      <c r="F1248" s="323">
        <v>6.8000000000000005E-2</v>
      </c>
      <c r="G1248" s="658">
        <v>5.0000000000000001E-3</v>
      </c>
      <c r="H1248" s="659">
        <v>10</v>
      </c>
      <c r="I1248" s="318"/>
      <c r="J1248" s="318" t="s">
        <v>3919</v>
      </c>
      <c r="K1248" s="318" t="s">
        <v>3919</v>
      </c>
      <c r="L1248" s="318" t="s">
        <v>3919</v>
      </c>
      <c r="M1248" s="318" t="s">
        <v>3919</v>
      </c>
      <c r="Q1248" s="318">
        <v>50</v>
      </c>
      <c r="R1248" s="324">
        <f>H1248*Q1248*0.000001</f>
        <v>5.0000000000000001E-4</v>
      </c>
      <c r="S1248" s="321">
        <f>G1248+R1248</f>
        <v>5.4999999999999997E-3</v>
      </c>
      <c r="T1248" s="12"/>
      <c r="V1248" s="12"/>
      <c r="W1248" s="12"/>
      <c r="X1248" s="12"/>
      <c r="Y1248" s="12"/>
      <c r="Z1248" s="12"/>
      <c r="AA1248" s="12"/>
      <c r="AB1248" s="12"/>
    </row>
    <row r="1249" spans="2:23" x14ac:dyDescent="0.35">
      <c r="F1249" s="185"/>
    </row>
    <row r="1250" spans="2:23" x14ac:dyDescent="0.35">
      <c r="C1250" s="351" t="s">
        <v>3063</v>
      </c>
      <c r="D1250" s="497" t="s">
        <v>6426</v>
      </c>
      <c r="F1250" s="323">
        <v>1.4999999999999999E-2</v>
      </c>
      <c r="G1250" s="658">
        <v>5.0000000000000001E-3</v>
      </c>
      <c r="H1250" s="319">
        <v>25</v>
      </c>
      <c r="J1250" s="313" t="s">
        <v>6424</v>
      </c>
      <c r="K1250" s="313" t="s">
        <v>6427</v>
      </c>
      <c r="L1250" s="320">
        <v>0.125</v>
      </c>
      <c r="M1250" s="660" t="str">
        <f>"0805"</f>
        <v>0805</v>
      </c>
      <c r="Q1250" s="318">
        <v>50</v>
      </c>
      <c r="R1250" s="324">
        <f t="shared" ref="R1250:R1253" si="69">H1250*Q1250*0.000001</f>
        <v>1.25E-3</v>
      </c>
      <c r="S1250" s="321">
        <f t="shared" ref="S1250:S1253" si="70">G1250+R1250</f>
        <v>6.2500000000000003E-3</v>
      </c>
      <c r="T1250" s="1" t="s">
        <v>6425</v>
      </c>
      <c r="V1250" t="s">
        <v>0</v>
      </c>
      <c r="W1250" t="s">
        <v>6430</v>
      </c>
    </row>
    <row r="1251" spans="2:23" x14ac:dyDescent="0.35">
      <c r="C1251" s="351" t="s">
        <v>3063</v>
      </c>
      <c r="D1251" s="497" t="s">
        <v>6429</v>
      </c>
      <c r="F1251" s="323">
        <v>0.04</v>
      </c>
      <c r="G1251" s="657">
        <v>1E-3</v>
      </c>
      <c r="H1251" s="319">
        <v>25</v>
      </c>
      <c r="J1251" s="318">
        <v>150</v>
      </c>
      <c r="K1251" s="318">
        <v>300</v>
      </c>
      <c r="L1251" s="318" t="s">
        <v>3919</v>
      </c>
      <c r="M1251" s="318" t="s">
        <v>3919</v>
      </c>
      <c r="Q1251" s="318">
        <v>50</v>
      </c>
      <c r="R1251" s="324">
        <f t="shared" si="69"/>
        <v>1.25E-3</v>
      </c>
      <c r="S1251" s="321">
        <f t="shared" si="70"/>
        <v>2.2500000000000003E-3</v>
      </c>
      <c r="T1251" s="1" t="s">
        <v>6428</v>
      </c>
      <c r="V1251" t="s">
        <v>0</v>
      </c>
      <c r="W1251" t="s">
        <v>122</v>
      </c>
    </row>
    <row r="1252" spans="2:23" x14ac:dyDescent="0.35">
      <c r="D1252" s="497" t="s">
        <v>6421</v>
      </c>
      <c r="F1252" s="323">
        <v>0.1</v>
      </c>
      <c r="G1252" s="658">
        <v>5.0000000000000001E-3</v>
      </c>
      <c r="H1252" s="659">
        <v>10</v>
      </c>
      <c r="J1252" s="318">
        <v>150</v>
      </c>
      <c r="K1252" s="318">
        <v>300</v>
      </c>
      <c r="L1252" s="318" t="s">
        <v>3919</v>
      </c>
      <c r="M1252" s="318" t="s">
        <v>3919</v>
      </c>
      <c r="Q1252" s="318">
        <v>50</v>
      </c>
      <c r="R1252" s="324">
        <f t="shared" si="69"/>
        <v>5.0000000000000001E-4</v>
      </c>
      <c r="S1252" s="321">
        <f t="shared" si="70"/>
        <v>5.4999999999999997E-3</v>
      </c>
      <c r="T1252" s="1" t="s">
        <v>6420</v>
      </c>
      <c r="V1252" t="s">
        <v>0</v>
      </c>
      <c r="W1252" t="s">
        <v>122</v>
      </c>
    </row>
    <row r="1253" spans="2:23" x14ac:dyDescent="0.35">
      <c r="D1253" s="497" t="s">
        <v>6423</v>
      </c>
      <c r="F1253" s="323">
        <v>0.16</v>
      </c>
      <c r="G1253" s="657">
        <v>1E-3</v>
      </c>
      <c r="H1253" s="659">
        <v>10</v>
      </c>
      <c r="J1253" s="313" t="s">
        <v>6424</v>
      </c>
      <c r="K1253" s="313" t="s">
        <v>6427</v>
      </c>
      <c r="L1253" s="318" t="s">
        <v>3919</v>
      </c>
      <c r="M1253" s="318" t="s">
        <v>3919</v>
      </c>
      <c r="Q1253" s="318">
        <v>50</v>
      </c>
      <c r="R1253" s="324">
        <f t="shared" si="69"/>
        <v>5.0000000000000001E-4</v>
      </c>
      <c r="S1253" s="321">
        <f t="shared" si="70"/>
        <v>1.5E-3</v>
      </c>
      <c r="T1253" s="1" t="s">
        <v>6422</v>
      </c>
      <c r="V1253" t="s">
        <v>0</v>
      </c>
      <c r="W1253" t="s">
        <v>122</v>
      </c>
    </row>
    <row r="1254" spans="2:23" x14ac:dyDescent="0.35">
      <c r="F1254" s="185"/>
      <c r="T1254" s="1"/>
    </row>
    <row r="1255" spans="2:23" x14ac:dyDescent="0.35">
      <c r="C1255" s="351" t="s">
        <v>3063</v>
      </c>
      <c r="D1255" s="325" t="s">
        <v>2985</v>
      </c>
      <c r="E1255" s="318"/>
      <c r="F1255" s="323">
        <v>7.0000000000000007E-2</v>
      </c>
      <c r="G1255" s="657">
        <v>1E-3</v>
      </c>
      <c r="H1255" s="318">
        <v>25</v>
      </c>
      <c r="I1255" s="318"/>
      <c r="J1255" s="318">
        <v>150</v>
      </c>
      <c r="K1255" s="318">
        <v>300</v>
      </c>
      <c r="L1255" s="320">
        <v>0.25</v>
      </c>
      <c r="M1255" s="329">
        <v>1206</v>
      </c>
      <c r="Q1255" s="318">
        <v>50</v>
      </c>
      <c r="R1255" s="324">
        <f>H1255*Q1255*0.000001</f>
        <v>1.25E-3</v>
      </c>
      <c r="S1255" s="321">
        <f>G1255+R1255</f>
        <v>2.2500000000000003E-3</v>
      </c>
    </row>
    <row r="1256" spans="2:23" x14ac:dyDescent="0.35">
      <c r="D1256" s="325" t="s">
        <v>2986</v>
      </c>
      <c r="E1256" s="318"/>
      <c r="F1256" s="323">
        <v>3.1E-2</v>
      </c>
      <c r="G1256" s="658">
        <v>5.0000000000000001E-3</v>
      </c>
      <c r="H1256" s="318">
        <v>25</v>
      </c>
      <c r="I1256" s="318"/>
      <c r="J1256" s="318">
        <v>200</v>
      </c>
      <c r="K1256" s="318">
        <v>400</v>
      </c>
      <c r="L1256" s="320">
        <v>0.25</v>
      </c>
      <c r="M1256" s="329">
        <v>1206</v>
      </c>
      <c r="Q1256" s="318">
        <v>50</v>
      </c>
      <c r="R1256" s="324">
        <f>H1256*Q1256*0.000001</f>
        <v>1.25E-3</v>
      </c>
      <c r="S1256" s="321">
        <f>G1256+R1256</f>
        <v>6.2500000000000003E-3</v>
      </c>
    </row>
    <row r="1257" spans="2:23" x14ac:dyDescent="0.35">
      <c r="D1257" s="325" t="s">
        <v>6409</v>
      </c>
      <c r="E1257" s="318"/>
      <c r="F1257" s="323">
        <v>1.7000000000000001E-2</v>
      </c>
      <c r="G1257" s="661">
        <v>0.01</v>
      </c>
      <c r="H1257" s="318">
        <v>25</v>
      </c>
      <c r="I1257" s="318"/>
      <c r="J1257" s="318">
        <v>200</v>
      </c>
      <c r="K1257" s="318">
        <v>400</v>
      </c>
      <c r="L1257" s="320">
        <v>0.25</v>
      </c>
      <c r="M1257" s="329">
        <v>1206</v>
      </c>
      <c r="O1257" s="316" t="s">
        <v>7752</v>
      </c>
      <c r="Q1257" s="318">
        <v>50</v>
      </c>
      <c r="R1257" s="324">
        <f>H1257*Q1257*0.000001</f>
        <v>1.25E-3</v>
      </c>
      <c r="S1257" s="321">
        <f>G1257+R1257</f>
        <v>1.125E-2</v>
      </c>
      <c r="T1257" s="1" t="s">
        <v>6408</v>
      </c>
      <c r="V1257" t="s">
        <v>0</v>
      </c>
    </row>
    <row r="1258" spans="2:23" x14ac:dyDescent="0.35">
      <c r="D1258" s="325" t="s">
        <v>7997</v>
      </c>
      <c r="E1258" s="318"/>
      <c r="F1258" s="323">
        <v>1.2999999999999999E-2</v>
      </c>
      <c r="G1258" s="658">
        <v>5.0000000000000001E-3</v>
      </c>
      <c r="H1258" s="318">
        <v>25</v>
      </c>
      <c r="I1258" s="318"/>
      <c r="J1258" s="318">
        <v>150</v>
      </c>
      <c r="K1258" s="318">
        <v>300</v>
      </c>
      <c r="L1258" s="882">
        <v>0.125</v>
      </c>
      <c r="M1258" s="329">
        <v>1206</v>
      </c>
      <c r="O1258" s="316" t="s">
        <v>7999</v>
      </c>
      <c r="Q1258" s="318">
        <v>50</v>
      </c>
      <c r="R1258" s="324">
        <f>H1258*Q1258*0.000001</f>
        <v>1.25E-3</v>
      </c>
      <c r="S1258" s="321">
        <f>G1258+R1258</f>
        <v>6.2500000000000003E-3</v>
      </c>
      <c r="T1258" s="1" t="s">
        <v>7996</v>
      </c>
      <c r="V1258" t="s">
        <v>0</v>
      </c>
    </row>
    <row r="1259" spans="2:23" x14ac:dyDescent="0.35">
      <c r="D1259" s="297"/>
      <c r="E1259" s="7"/>
      <c r="F1259" s="297"/>
      <c r="G1259" s="297"/>
      <c r="H1259" s="297"/>
      <c r="I1259" s="7"/>
      <c r="J1259" s="297"/>
      <c r="K1259" s="297"/>
      <c r="L1259" s="297"/>
      <c r="M1259" s="297"/>
      <c r="N1259" s="7"/>
      <c r="O1259" s="297"/>
      <c r="P1259" s="7"/>
      <c r="Q1259" s="297"/>
      <c r="R1259" s="297"/>
      <c r="S1259" s="297"/>
      <c r="T1259" s="297"/>
    </row>
    <row r="1260" spans="2:23" x14ac:dyDescent="0.35">
      <c r="D1260" s="326" t="s">
        <v>3179</v>
      </c>
      <c r="E1260" s="318"/>
      <c r="F1260" s="323">
        <v>4.2000000000000003E-2</v>
      </c>
      <c r="G1260" s="322">
        <v>1E-3</v>
      </c>
      <c r="H1260" s="319">
        <v>25</v>
      </c>
      <c r="I1260" s="318"/>
      <c r="J1260" s="318">
        <v>75</v>
      </c>
      <c r="K1260" s="318">
        <v>150</v>
      </c>
      <c r="L1260" s="318">
        <v>6.3E-2</v>
      </c>
      <c r="M1260" s="328" t="str">
        <f>"0402"</f>
        <v>0402</v>
      </c>
      <c r="Q1260" s="318">
        <v>50</v>
      </c>
      <c r="R1260" s="324">
        <f>H1260*Q1260*0.000001</f>
        <v>1.25E-3</v>
      </c>
      <c r="S1260" s="321">
        <f>G1260+R1260</f>
        <v>2.2500000000000003E-3</v>
      </c>
    </row>
    <row r="1261" spans="2:23" x14ac:dyDescent="0.35">
      <c r="D1261" s="340" t="s">
        <v>2988</v>
      </c>
      <c r="E1261" s="341"/>
      <c r="F1261" s="342">
        <v>3.6999999999999998E-2</v>
      </c>
      <c r="G1261" s="343">
        <v>5.0000000000000001E-3</v>
      </c>
      <c r="H1261" s="341">
        <v>25</v>
      </c>
      <c r="I1261" s="341"/>
      <c r="J1261" s="341">
        <v>75</v>
      </c>
      <c r="K1261" s="341">
        <v>150</v>
      </c>
      <c r="L1261" s="344">
        <v>0.1</v>
      </c>
      <c r="M1261" s="341" t="str">
        <f>"0603"</f>
        <v>0603</v>
      </c>
      <c r="N1261" s="345"/>
      <c r="Q1261" s="341">
        <v>50</v>
      </c>
      <c r="R1261" s="346">
        <f>H1261*Q1261*0.000001</f>
        <v>1.25E-3</v>
      </c>
      <c r="S1261" s="343">
        <f>G1261+R1261</f>
        <v>6.2500000000000003E-3</v>
      </c>
      <c r="T1261" s="1" t="s">
        <v>2987</v>
      </c>
      <c r="V1261" t="s">
        <v>0</v>
      </c>
    </row>
    <row r="1262" spans="2:23" x14ac:dyDescent="0.35">
      <c r="D1262" s="325" t="s">
        <v>3244</v>
      </c>
      <c r="E1262" s="318"/>
      <c r="F1262" s="323">
        <v>3.1E-2</v>
      </c>
      <c r="G1262" s="321">
        <v>5.0000000000000001E-3</v>
      </c>
      <c r="H1262" s="318">
        <v>25</v>
      </c>
      <c r="I1262" s="318"/>
      <c r="J1262" s="318">
        <v>100</v>
      </c>
      <c r="K1262" s="318">
        <v>200</v>
      </c>
      <c r="L1262" s="320">
        <v>0.125</v>
      </c>
      <c r="M1262" s="319" t="str">
        <f>"0805"</f>
        <v>0805</v>
      </c>
      <c r="Q1262" s="318">
        <v>50</v>
      </c>
      <c r="R1262" s="324">
        <f>H1262*Q1262*0.000001</f>
        <v>1.25E-3</v>
      </c>
      <c r="S1262" s="321">
        <f>G1262+R1262</f>
        <v>6.2500000000000003E-3</v>
      </c>
    </row>
    <row r="1264" spans="2:23" x14ac:dyDescent="0.35">
      <c r="B1264" s="83" t="s">
        <v>4328</v>
      </c>
      <c r="D1264" s="325"/>
      <c r="E1264" s="318"/>
      <c r="F1264" s="323"/>
      <c r="G1264" s="321"/>
      <c r="H1264" s="318"/>
      <c r="I1264" s="318"/>
      <c r="J1264" s="318"/>
      <c r="K1264" s="318"/>
      <c r="L1264" s="320"/>
      <c r="M1264" s="319"/>
      <c r="O1264" s="318"/>
      <c r="P1264" s="324"/>
      <c r="Q1264" s="321"/>
    </row>
    <row r="1265" spans="2:29" ht="24.5" x14ac:dyDescent="0.35">
      <c r="D1265" s="123" t="s">
        <v>2956</v>
      </c>
      <c r="E1265" s="318"/>
      <c r="F1265" s="123" t="s">
        <v>620</v>
      </c>
      <c r="G1265" s="123" t="s">
        <v>2977</v>
      </c>
      <c r="H1265" s="123" t="s">
        <v>2950</v>
      </c>
      <c r="I1265" s="318"/>
      <c r="J1265" s="123" t="s">
        <v>2982</v>
      </c>
      <c r="K1265" s="123" t="s">
        <v>7754</v>
      </c>
      <c r="L1265" s="123" t="s">
        <v>2979</v>
      </c>
      <c r="M1265" s="123" t="s">
        <v>2978</v>
      </c>
      <c r="O1265" s="123" t="s">
        <v>4228</v>
      </c>
      <c r="P1265" s="324"/>
      <c r="Q1265" s="321"/>
    </row>
    <row r="1266" spans="2:29" x14ac:dyDescent="0.35">
      <c r="D1266" s="383" t="s">
        <v>7836</v>
      </c>
      <c r="E1266" s="318"/>
      <c r="F1266" s="868">
        <v>2E-3</v>
      </c>
      <c r="G1266" s="321">
        <v>0.01</v>
      </c>
      <c r="H1266" s="318">
        <v>100</v>
      </c>
      <c r="I1266" s="318"/>
      <c r="J1266" s="318">
        <v>75</v>
      </c>
      <c r="K1266" s="313" t="s">
        <v>7753</v>
      </c>
      <c r="L1266" s="318">
        <v>6.3E-2</v>
      </c>
      <c r="M1266" s="328" t="str">
        <f>"0603"</f>
        <v>0603</v>
      </c>
      <c r="O1266" s="325" t="s">
        <v>7755</v>
      </c>
      <c r="P1266" s="324"/>
      <c r="Q1266" s="321"/>
      <c r="R1266" s="1" t="s">
        <v>7761</v>
      </c>
      <c r="T1266" t="s">
        <v>0</v>
      </c>
    </row>
    <row r="1267" spans="2:29" x14ac:dyDescent="0.35">
      <c r="D1267" s="383" t="s">
        <v>7759</v>
      </c>
      <c r="E1267" s="318"/>
      <c r="F1267" s="868">
        <v>2.7000000000000001E-3</v>
      </c>
      <c r="G1267" s="321">
        <v>0.01</v>
      </c>
      <c r="H1267" s="318">
        <v>100</v>
      </c>
      <c r="I1267" s="318"/>
      <c r="J1267" s="318">
        <v>150</v>
      </c>
      <c r="K1267" s="313" t="s">
        <v>7753</v>
      </c>
      <c r="L1267" s="320">
        <v>0.1</v>
      </c>
      <c r="M1267" s="319" t="str">
        <f>"0805"</f>
        <v>0805</v>
      </c>
      <c r="O1267" s="325" t="s">
        <v>7756</v>
      </c>
      <c r="P1267" s="324"/>
      <c r="Q1267" s="321"/>
      <c r="R1267" s="1" t="s">
        <v>7758</v>
      </c>
      <c r="T1267" t="s">
        <v>0</v>
      </c>
    </row>
    <row r="1268" spans="2:29" x14ac:dyDescent="0.35">
      <c r="D1268" s="383" t="s">
        <v>7760</v>
      </c>
      <c r="E1268" s="318"/>
      <c r="F1268" s="868">
        <v>3.5000000000000001E-3</v>
      </c>
      <c r="G1268" s="321">
        <v>0.01</v>
      </c>
      <c r="H1268" s="318">
        <v>100</v>
      </c>
      <c r="I1268" s="318"/>
      <c r="J1268" s="318">
        <v>200</v>
      </c>
      <c r="K1268" s="313" t="s">
        <v>7753</v>
      </c>
      <c r="L1268" s="320">
        <v>0.25</v>
      </c>
      <c r="M1268" s="329">
        <v>1206</v>
      </c>
      <c r="N1268" s="318"/>
      <c r="O1268" s="325" t="s">
        <v>7762</v>
      </c>
      <c r="P1268" s="329"/>
      <c r="R1268" s="1" t="s">
        <v>7757</v>
      </c>
      <c r="T1268" t="s">
        <v>0</v>
      </c>
    </row>
    <row r="1269" spans="2:29" x14ac:dyDescent="0.35">
      <c r="E1269" s="318"/>
      <c r="F1269" s="323"/>
      <c r="G1269" s="321"/>
      <c r="H1269" s="318"/>
      <c r="I1269" s="318"/>
      <c r="J1269" s="324"/>
      <c r="K1269" s="321"/>
      <c r="L1269" s="320"/>
      <c r="M1269" s="329"/>
      <c r="N1269" s="318"/>
      <c r="O1269" s="320"/>
      <c r="P1269" s="329"/>
    </row>
    <row r="1270" spans="2:29" x14ac:dyDescent="0.35">
      <c r="B1270" s="83" t="s">
        <v>3260</v>
      </c>
      <c r="H1270" s="300" t="s">
        <v>2992</v>
      </c>
    </row>
    <row r="1271" spans="2:29" x14ac:dyDescent="0.35">
      <c r="H1271" s="300"/>
    </row>
    <row r="1272" spans="2:29" ht="27" customHeight="1" x14ac:dyDescent="0.35">
      <c r="D1272" s="123" t="s">
        <v>2956</v>
      </c>
      <c r="E1272" s="4"/>
      <c r="F1272" s="123" t="s">
        <v>620</v>
      </c>
      <c r="G1272" s="123" t="s">
        <v>3261</v>
      </c>
      <c r="H1272" s="123" t="s">
        <v>2977</v>
      </c>
      <c r="I1272" s="123" t="s">
        <v>2950</v>
      </c>
      <c r="K1272" s="123" t="s">
        <v>2982</v>
      </c>
      <c r="L1272" s="123" t="s">
        <v>2983</v>
      </c>
      <c r="M1272" s="123" t="s">
        <v>2979</v>
      </c>
      <c r="N1272" s="123" t="s">
        <v>2978</v>
      </c>
      <c r="O1272" s="4"/>
      <c r="P1272" s="123" t="s">
        <v>2961</v>
      </c>
      <c r="Q1272" s="4"/>
      <c r="R1272" s="123" t="s">
        <v>4228</v>
      </c>
      <c r="T1272" s="123" t="s">
        <v>2994</v>
      </c>
      <c r="U1272" s="123" t="s">
        <v>2995</v>
      </c>
      <c r="V1272" s="123" t="s">
        <v>2996</v>
      </c>
      <c r="W1272" s="123" t="s">
        <v>2997</v>
      </c>
      <c r="Y1272" s="123" t="s">
        <v>6563</v>
      </c>
      <c r="AA1272" s="123" t="s">
        <v>3181</v>
      </c>
      <c r="AB1272" s="123" t="s">
        <v>3187</v>
      </c>
      <c r="AC1272" s="123" t="s">
        <v>2980</v>
      </c>
    </row>
    <row r="1273" spans="2:29" x14ac:dyDescent="0.35">
      <c r="C1273" s="351" t="s">
        <v>3063</v>
      </c>
      <c r="D1273" t="s">
        <v>2990</v>
      </c>
      <c r="F1273" s="336">
        <v>0.12</v>
      </c>
      <c r="G1273" s="16">
        <v>1</v>
      </c>
      <c r="H1273" s="49">
        <v>0.01</v>
      </c>
      <c r="I1273">
        <v>50</v>
      </c>
      <c r="M1273">
        <v>3</v>
      </c>
      <c r="N1273" s="316" t="s">
        <v>3142</v>
      </c>
      <c r="P1273" s="1" t="s">
        <v>2989</v>
      </c>
      <c r="R1273" t="s">
        <v>0</v>
      </c>
      <c r="T1273">
        <v>10</v>
      </c>
      <c r="U1273" s="11">
        <f>0.001*G1273</f>
        <v>1E-3</v>
      </c>
      <c r="V1273" s="11">
        <f>T1273*U1273</f>
        <v>0.01</v>
      </c>
      <c r="W1273" s="301">
        <f>V1273*T1273</f>
        <v>0.1</v>
      </c>
      <c r="Y1273" s="43">
        <f>V1273*1000/T1273</f>
        <v>1</v>
      </c>
      <c r="AA1273">
        <v>50</v>
      </c>
      <c r="AB1273" s="49">
        <f>I1273*AA1273*0.000001</f>
        <v>2.5000000000000001E-3</v>
      </c>
      <c r="AC1273" s="296">
        <f>H1273+AB1273</f>
        <v>1.2500000000000001E-2</v>
      </c>
    </row>
    <row r="1274" spans="2:29" x14ac:dyDescent="0.35">
      <c r="C1274" s="351"/>
      <c r="D1274" t="s">
        <v>6562</v>
      </c>
      <c r="F1274" s="336">
        <v>0.12</v>
      </c>
      <c r="G1274" s="16">
        <v>0.5</v>
      </c>
      <c r="H1274" s="49">
        <v>0.01</v>
      </c>
      <c r="I1274">
        <v>50</v>
      </c>
      <c r="M1274">
        <v>3</v>
      </c>
      <c r="N1274" s="316" t="s">
        <v>3142</v>
      </c>
      <c r="P1274" s="1" t="s">
        <v>6561</v>
      </c>
      <c r="R1274" t="s">
        <v>0</v>
      </c>
      <c r="T1274">
        <v>15</v>
      </c>
      <c r="U1274" s="11">
        <f>0.001*G1274</f>
        <v>5.0000000000000001E-4</v>
      </c>
      <c r="V1274" s="11">
        <f>T1274*U1274</f>
        <v>7.4999999999999997E-3</v>
      </c>
      <c r="W1274" s="301">
        <f>V1274*T1274</f>
        <v>0.11249999999999999</v>
      </c>
      <c r="Y1274" s="43">
        <f t="shared" ref="Y1274:Y1275" si="71">V1274*1000/T1274</f>
        <v>0.5</v>
      </c>
      <c r="AA1274">
        <v>50</v>
      </c>
      <c r="AB1274" s="49">
        <f>I1274*AA1274*0.000001</f>
        <v>2.5000000000000001E-3</v>
      </c>
      <c r="AC1274" s="296">
        <f>H1274+AB1274</f>
        <v>1.2500000000000001E-2</v>
      </c>
    </row>
    <row r="1275" spans="2:29" x14ac:dyDescent="0.35">
      <c r="D1275" t="s">
        <v>3144</v>
      </c>
      <c r="F1275" s="8">
        <v>0.12</v>
      </c>
      <c r="G1275" s="16">
        <v>20</v>
      </c>
      <c r="H1275" s="296">
        <v>0.01</v>
      </c>
      <c r="I1275">
        <v>75</v>
      </c>
      <c r="M1275">
        <v>3</v>
      </c>
      <c r="N1275" s="316" t="s">
        <v>3142</v>
      </c>
      <c r="P1275" s="1" t="s">
        <v>3143</v>
      </c>
      <c r="R1275" t="s">
        <v>0</v>
      </c>
      <c r="T1275">
        <v>3</v>
      </c>
      <c r="U1275" s="11">
        <f>0.001*G1275</f>
        <v>0.02</v>
      </c>
      <c r="V1275" s="11">
        <f>T1275*U1275</f>
        <v>0.06</v>
      </c>
      <c r="W1275" s="301">
        <f>V1275*T1275</f>
        <v>0.18</v>
      </c>
      <c r="Y1275" s="43">
        <f t="shared" si="71"/>
        <v>20</v>
      </c>
      <c r="AA1275">
        <v>50</v>
      </c>
      <c r="AB1275" s="49">
        <f>I1275*AA1275*0.000001</f>
        <v>3.7499999999999999E-3</v>
      </c>
      <c r="AC1275" s="296">
        <f>H1275+AB1275</f>
        <v>1.375E-2</v>
      </c>
    </row>
    <row r="1276" spans="2:29" x14ac:dyDescent="0.35">
      <c r="D1276" t="s">
        <v>3120</v>
      </c>
      <c r="F1276" s="8">
        <v>0.12</v>
      </c>
      <c r="G1276" s="16">
        <v>50</v>
      </c>
      <c r="H1276" s="296">
        <v>0.01</v>
      </c>
      <c r="I1276">
        <v>75</v>
      </c>
      <c r="M1276">
        <v>3</v>
      </c>
      <c r="N1276" s="316" t="s">
        <v>3142</v>
      </c>
      <c r="P1276" s="1"/>
    </row>
    <row r="1278" spans="2:29" x14ac:dyDescent="0.35">
      <c r="B1278" s="83" t="s">
        <v>4457</v>
      </c>
      <c r="D1278" s="325"/>
      <c r="E1278" s="318"/>
      <c r="F1278" s="323"/>
      <c r="G1278" s="321"/>
      <c r="H1278" s="318"/>
      <c r="I1278" s="318"/>
      <c r="J1278" s="324"/>
      <c r="K1278" s="321"/>
      <c r="L1278" s="318"/>
      <c r="M1278" s="318"/>
      <c r="N1278" s="318"/>
      <c r="O1278" s="320"/>
      <c r="P1278" s="329"/>
    </row>
    <row r="1279" spans="2:29" ht="24.5" x14ac:dyDescent="0.35">
      <c r="D1279" s="123" t="s">
        <v>2956</v>
      </c>
      <c r="E1279" s="4"/>
      <c r="F1279" s="123" t="s">
        <v>620</v>
      </c>
      <c r="G1279" s="123" t="s">
        <v>3182</v>
      </c>
      <c r="H1279" s="123" t="s">
        <v>3183</v>
      </c>
      <c r="I1279" s="123" t="s">
        <v>3184</v>
      </c>
      <c r="J1279" s="123" t="s">
        <v>3185</v>
      </c>
      <c r="K1279" s="321"/>
      <c r="L1279" s="318"/>
      <c r="M1279" s="318"/>
      <c r="N1279" s="318"/>
      <c r="O1279" s="123" t="s">
        <v>3181</v>
      </c>
      <c r="P1279" s="123" t="s">
        <v>3187</v>
      </c>
      <c r="Q1279" s="123" t="s">
        <v>2980</v>
      </c>
      <c r="R1279" s="123" t="s">
        <v>2961</v>
      </c>
    </row>
    <row r="1280" spans="2:29" x14ac:dyDescent="0.35">
      <c r="D1280" s="754" t="s">
        <v>4482</v>
      </c>
      <c r="E1280" s="7"/>
      <c r="F1280" s="297"/>
      <c r="G1280" s="297"/>
      <c r="H1280" s="297"/>
      <c r="I1280" s="297"/>
      <c r="J1280" s="297"/>
      <c r="K1280" s="321"/>
      <c r="L1280" s="318"/>
      <c r="M1280" s="318"/>
      <c r="N1280" s="318"/>
      <c r="O1280" s="297"/>
      <c r="P1280" s="297"/>
      <c r="Q1280" s="297"/>
      <c r="R1280" s="297"/>
    </row>
    <row r="1281" spans="2:24" x14ac:dyDescent="0.35">
      <c r="D1281" s="326" t="s">
        <v>4458</v>
      </c>
      <c r="E1281" s="7"/>
      <c r="F1281" s="330">
        <v>0.16</v>
      </c>
      <c r="G1281" s="324">
        <v>5.0000000000000001E-3</v>
      </c>
      <c r="H1281" s="318">
        <v>50</v>
      </c>
      <c r="I1281" s="297" t="s">
        <v>4309</v>
      </c>
      <c r="J1281" s="297" t="s">
        <v>4309</v>
      </c>
      <c r="K1281" s="447" t="s">
        <v>4462</v>
      </c>
      <c r="L1281" s="318"/>
      <c r="M1281" s="318"/>
      <c r="N1281" s="318"/>
      <c r="O1281" s="297"/>
      <c r="P1281" s="297"/>
      <c r="Q1281" s="297"/>
      <c r="R1281" t="s">
        <v>4461</v>
      </c>
      <c r="U1281" s="1" t="s">
        <v>4459</v>
      </c>
      <c r="W1281" t="s">
        <v>0</v>
      </c>
    </row>
    <row r="1282" spans="2:24" x14ac:dyDescent="0.35">
      <c r="D1282" s="325" t="s">
        <v>6511</v>
      </c>
      <c r="E1282" s="318"/>
      <c r="F1282" s="330">
        <v>0.23</v>
      </c>
      <c r="G1282" s="324">
        <v>1E-3</v>
      </c>
      <c r="H1282" s="318">
        <v>25</v>
      </c>
      <c r="I1282" s="324">
        <v>5.0000000000000001E-4</v>
      </c>
      <c r="J1282" s="331">
        <v>15</v>
      </c>
      <c r="K1282" s="321"/>
      <c r="L1282" s="318"/>
      <c r="M1282" s="318"/>
      <c r="N1282" s="318"/>
      <c r="O1282" s="318">
        <v>50</v>
      </c>
      <c r="P1282" s="324">
        <f>J1282*O1282*0.000001</f>
        <v>7.5000000000000002E-4</v>
      </c>
      <c r="Q1282" s="321">
        <f>P1282</f>
        <v>7.5000000000000002E-4</v>
      </c>
      <c r="R1282" t="s">
        <v>4460</v>
      </c>
      <c r="U1282" s="1" t="s">
        <v>6510</v>
      </c>
      <c r="W1282" t="s">
        <v>0</v>
      </c>
      <c r="X1282" t="s">
        <v>6512</v>
      </c>
    </row>
    <row r="1283" spans="2:24" x14ac:dyDescent="0.35">
      <c r="C1283" s="351" t="s">
        <v>3063</v>
      </c>
      <c r="D1283" s="325" t="s">
        <v>3186</v>
      </c>
      <c r="E1283" s="318"/>
      <c r="F1283" s="330">
        <v>0.68</v>
      </c>
      <c r="G1283" s="324">
        <v>1E-3</v>
      </c>
      <c r="H1283" s="318"/>
      <c r="I1283" s="324">
        <v>5.0000000000000001E-4</v>
      </c>
      <c r="J1283" s="318">
        <v>7.5</v>
      </c>
      <c r="K1283" s="321"/>
      <c r="L1283" s="318"/>
      <c r="M1283" s="318"/>
      <c r="N1283" s="318"/>
      <c r="O1283" s="318">
        <v>50</v>
      </c>
      <c r="P1283" s="324">
        <f>J1283*O1283*0.000001</f>
        <v>3.7500000000000001E-4</v>
      </c>
      <c r="Q1283" s="321">
        <f>P1283</f>
        <v>3.7500000000000001E-4</v>
      </c>
      <c r="R1283" t="s">
        <v>4460</v>
      </c>
      <c r="U1283" s="1" t="s">
        <v>4459</v>
      </c>
      <c r="W1283" t="s">
        <v>0</v>
      </c>
    </row>
    <row r="1284" spans="2:24" x14ac:dyDescent="0.35">
      <c r="C1284" s="351"/>
      <c r="D1284" s="325"/>
      <c r="E1284" s="318"/>
      <c r="F1284" s="330"/>
      <c r="G1284" s="324"/>
      <c r="H1284" s="318"/>
      <c r="I1284" s="324"/>
      <c r="J1284" s="318"/>
      <c r="K1284" s="321"/>
      <c r="L1284" s="318"/>
      <c r="M1284" s="318"/>
      <c r="N1284" s="318"/>
      <c r="O1284" s="318"/>
      <c r="P1284" s="324"/>
      <c r="Q1284" s="321"/>
      <c r="U1284" s="1"/>
    </row>
    <row r="1285" spans="2:24" x14ac:dyDescent="0.35">
      <c r="D1285" s="754" t="s">
        <v>4483</v>
      </c>
      <c r="E1285" s="318"/>
      <c r="F1285" s="330"/>
      <c r="G1285" s="324"/>
      <c r="H1285" s="318"/>
      <c r="I1285" s="324"/>
      <c r="J1285" s="318"/>
      <c r="K1285" s="321"/>
      <c r="L1285" s="318"/>
      <c r="M1285" s="318"/>
      <c r="N1285" s="318"/>
      <c r="O1285" s="318"/>
      <c r="P1285" s="324"/>
      <c r="Q1285" s="321"/>
      <c r="U1285" s="1"/>
    </row>
    <row r="1286" spans="2:24" x14ac:dyDescent="0.35">
      <c r="C1286" s="351"/>
      <c r="D1286" s="325" t="s">
        <v>4484</v>
      </c>
      <c r="E1286" s="318"/>
      <c r="F1286" s="330">
        <v>0.16</v>
      </c>
      <c r="G1286" s="324">
        <v>1E-3</v>
      </c>
      <c r="H1286" s="318">
        <v>25</v>
      </c>
      <c r="I1286" s="324">
        <v>5.0000000000000001E-4</v>
      </c>
      <c r="J1286" s="331">
        <v>15</v>
      </c>
      <c r="K1286" s="321"/>
      <c r="L1286" s="318"/>
      <c r="M1286" s="318"/>
      <c r="N1286" s="318"/>
      <c r="O1286" s="318"/>
      <c r="P1286" s="324"/>
      <c r="Q1286" s="321"/>
      <c r="U1286" s="1" t="s">
        <v>4485</v>
      </c>
      <c r="W1286" t="s">
        <v>4486</v>
      </c>
    </row>
    <row r="1287" spans="2:24" x14ac:dyDescent="0.35">
      <c r="C1287" s="351"/>
      <c r="D1287" s="325"/>
      <c r="E1287" s="318"/>
      <c r="F1287" s="330"/>
      <c r="G1287" s="324"/>
      <c r="H1287" s="318"/>
      <c r="I1287" s="324"/>
      <c r="J1287" s="318"/>
      <c r="K1287" s="321"/>
      <c r="L1287" s="318"/>
      <c r="M1287" s="318"/>
      <c r="N1287" s="318"/>
      <c r="O1287" s="318"/>
      <c r="P1287" s="324"/>
      <c r="Q1287" s="321"/>
    </row>
    <row r="1288" spans="2:24" x14ac:dyDescent="0.35">
      <c r="B1288" s="83" t="s">
        <v>4199</v>
      </c>
      <c r="C1288" s="351"/>
      <c r="D1288" s="325"/>
      <c r="E1288" s="318"/>
      <c r="F1288" s="425" t="s">
        <v>4252</v>
      </c>
      <c r="G1288" s="324"/>
      <c r="H1288" s="318"/>
      <c r="I1288" s="324"/>
      <c r="J1288" s="318"/>
      <c r="K1288" s="321"/>
      <c r="L1288" s="318"/>
      <c r="M1288" s="318"/>
      <c r="N1288" s="318"/>
      <c r="O1288" s="318"/>
      <c r="P1288" s="324"/>
      <c r="Q1288" s="321"/>
      <c r="R1288" s="1"/>
    </row>
    <row r="1289" spans="2:24" ht="24.5" x14ac:dyDescent="0.35">
      <c r="C1289" s="351"/>
      <c r="D1289" s="123" t="s">
        <v>2956</v>
      </c>
      <c r="E1289" s="318"/>
      <c r="F1289" s="123" t="s">
        <v>620</v>
      </c>
      <c r="G1289" s="324"/>
      <c r="H1289" s="123" t="s">
        <v>2978</v>
      </c>
      <c r="J1289" s="123" t="s">
        <v>4200</v>
      </c>
      <c r="K1289" s="123" t="s">
        <v>4201</v>
      </c>
      <c r="L1289" s="123" t="s">
        <v>4250</v>
      </c>
      <c r="M1289" s="123" t="s">
        <v>4253</v>
      </c>
      <c r="N1289" s="123" t="s">
        <v>6865</v>
      </c>
      <c r="O1289" s="123" t="s">
        <v>2950</v>
      </c>
      <c r="Q1289" s="123" t="s">
        <v>4228</v>
      </c>
      <c r="R1289" s="321"/>
      <c r="S1289" s="1"/>
      <c r="U1289" s="123" t="s">
        <v>2961</v>
      </c>
    </row>
    <row r="1290" spans="2:24" x14ac:dyDescent="0.35">
      <c r="C1290" s="351" t="s">
        <v>3063</v>
      </c>
      <c r="D1290" s="325" t="s">
        <v>6866</v>
      </c>
      <c r="E1290" s="318"/>
      <c r="F1290" s="330">
        <v>0.01</v>
      </c>
      <c r="G1290" s="324"/>
      <c r="H1290" s="316" t="s">
        <v>4254</v>
      </c>
      <c r="J1290" s="324">
        <v>0.01</v>
      </c>
      <c r="K1290" s="318">
        <v>4</v>
      </c>
      <c r="L1290" s="318">
        <v>50</v>
      </c>
      <c r="M1290" s="318">
        <v>100</v>
      </c>
      <c r="N1290" s="318">
        <v>62</v>
      </c>
      <c r="Q1290" s="316" t="s">
        <v>7768</v>
      </c>
      <c r="R1290" s="321"/>
      <c r="S1290" s="1"/>
      <c r="U1290" s="1" t="s">
        <v>6864</v>
      </c>
      <c r="W1290" t="s">
        <v>0</v>
      </c>
    </row>
    <row r="1291" spans="2:24" x14ac:dyDescent="0.35">
      <c r="C1291" s="351"/>
      <c r="D1291" s="325" t="s">
        <v>7774</v>
      </c>
      <c r="E1291" s="318"/>
      <c r="F1291" s="330">
        <v>0.01</v>
      </c>
      <c r="G1291" s="324"/>
      <c r="H1291" s="316" t="s">
        <v>7772</v>
      </c>
      <c r="J1291" s="324">
        <v>0.05</v>
      </c>
      <c r="K1291" s="318">
        <v>4</v>
      </c>
      <c r="L1291" s="318">
        <v>25</v>
      </c>
      <c r="M1291" s="318"/>
      <c r="N1291" s="318">
        <v>62</v>
      </c>
      <c r="O1291" s="318">
        <v>200</v>
      </c>
      <c r="Q1291" s="316" t="s">
        <v>8072</v>
      </c>
      <c r="R1291" s="321"/>
      <c r="S1291" s="1"/>
      <c r="U1291" s="1" t="s">
        <v>7773</v>
      </c>
      <c r="W1291" t="s">
        <v>0</v>
      </c>
    </row>
    <row r="1292" spans="2:24" x14ac:dyDescent="0.35">
      <c r="C1292" s="351"/>
      <c r="D1292" s="325"/>
      <c r="E1292" s="318"/>
      <c r="F1292" s="330"/>
      <c r="G1292" s="324"/>
      <c r="H1292" s="313"/>
      <c r="I1292" s="324"/>
      <c r="J1292" s="318"/>
      <c r="K1292" s="318"/>
      <c r="L1292" s="318"/>
      <c r="M1292" s="318"/>
      <c r="N1292" s="318"/>
      <c r="O1292" s="318"/>
      <c r="P1292" s="324"/>
      <c r="Q1292" s="321"/>
      <c r="R1292" s="1"/>
    </row>
    <row r="1293" spans="2:24" x14ac:dyDescent="0.35">
      <c r="B1293" s="83" t="s">
        <v>8830</v>
      </c>
      <c r="C1293" s="351"/>
      <c r="D1293" s="325"/>
      <c r="E1293" s="318"/>
      <c r="F1293" s="330"/>
      <c r="G1293" s="324"/>
      <c r="H1293" s="313"/>
      <c r="I1293" s="324"/>
      <c r="J1293" s="318"/>
      <c r="K1293" s="318"/>
      <c r="L1293" s="318"/>
      <c r="M1293" s="318"/>
      <c r="N1293" s="318"/>
      <c r="O1293" s="318"/>
      <c r="P1293" s="324"/>
      <c r="Q1293" s="321" t="s">
        <v>0</v>
      </c>
      <c r="R1293" s="1"/>
    </row>
    <row r="1294" spans="2:24" ht="24.5" x14ac:dyDescent="0.35">
      <c r="C1294" s="351"/>
      <c r="D1294" s="123" t="s">
        <v>2956</v>
      </c>
      <c r="E1294" s="318"/>
      <c r="F1294" s="123" t="s">
        <v>8814</v>
      </c>
      <c r="G1294" s="123" t="s">
        <v>8813</v>
      </c>
      <c r="H1294" s="123" t="s">
        <v>8812</v>
      </c>
      <c r="I1294" s="324"/>
      <c r="J1294" s="123" t="s">
        <v>8819</v>
      </c>
      <c r="L1294" s="123" t="s">
        <v>8821</v>
      </c>
      <c r="M1294" s="123" t="s">
        <v>8822</v>
      </c>
      <c r="N1294" s="123" t="s">
        <v>8820</v>
      </c>
      <c r="O1294" s="318"/>
      <c r="P1294" s="324"/>
      <c r="Q1294" s="123" t="s">
        <v>3563</v>
      </c>
      <c r="R1294" s="321" t="s">
        <v>0</v>
      </c>
    </row>
    <row r="1295" spans="2:24" x14ac:dyDescent="0.35">
      <c r="C1295" s="351"/>
      <c r="D1295" s="325" t="s">
        <v>8817</v>
      </c>
      <c r="E1295" s="318"/>
      <c r="F1295" s="331">
        <v>1</v>
      </c>
      <c r="G1295" s="331">
        <v>1</v>
      </c>
      <c r="H1295" s="331">
        <v>2</v>
      </c>
      <c r="I1295" s="324"/>
      <c r="J1295" s="318">
        <v>25</v>
      </c>
      <c r="L1295" s="320">
        <f t="shared" ref="L1295:N1299" si="72">F1295^2*$J1295/1000</f>
        <v>2.5000000000000001E-2</v>
      </c>
      <c r="M1295" s="320">
        <f t="shared" si="72"/>
        <v>2.5000000000000001E-2</v>
      </c>
      <c r="N1295" s="320">
        <f t="shared" si="72"/>
        <v>0.1</v>
      </c>
      <c r="O1295" s="318"/>
      <c r="P1295" s="324"/>
      <c r="Q1295" s="1" t="s">
        <v>8815</v>
      </c>
      <c r="R1295" s="321" t="s">
        <v>0</v>
      </c>
    </row>
    <row r="1296" spans="2:24" x14ac:dyDescent="0.35">
      <c r="C1296" s="351"/>
      <c r="D1296" s="325" t="s">
        <v>8818</v>
      </c>
      <c r="E1296" s="318"/>
      <c r="F1296" s="331">
        <v>1</v>
      </c>
      <c r="G1296" s="331">
        <v>2</v>
      </c>
      <c r="H1296" s="331">
        <v>2</v>
      </c>
      <c r="I1296" s="324"/>
      <c r="J1296" s="318">
        <v>50</v>
      </c>
      <c r="L1296" s="320">
        <f t="shared" si="72"/>
        <v>0.05</v>
      </c>
      <c r="M1296" s="320">
        <f t="shared" si="72"/>
        <v>0.2</v>
      </c>
      <c r="N1296" s="320">
        <f t="shared" si="72"/>
        <v>0.2</v>
      </c>
      <c r="O1296" s="318"/>
      <c r="P1296" s="324"/>
      <c r="Q1296" s="1" t="s">
        <v>8816</v>
      </c>
      <c r="R1296" s="321" t="s">
        <v>0</v>
      </c>
    </row>
    <row r="1297" spans="2:30" x14ac:dyDescent="0.35">
      <c r="C1297" s="351"/>
      <c r="D1297" s="325" t="s">
        <v>8824</v>
      </c>
      <c r="E1297" s="318"/>
      <c r="F1297" s="331">
        <v>2</v>
      </c>
      <c r="G1297" s="331">
        <v>2.5</v>
      </c>
      <c r="H1297" s="331">
        <v>3.5</v>
      </c>
      <c r="I1297" s="324"/>
      <c r="J1297" s="318">
        <v>20</v>
      </c>
      <c r="K1297" s="318"/>
      <c r="L1297" s="320">
        <f t="shared" si="72"/>
        <v>0.08</v>
      </c>
      <c r="M1297" s="320">
        <f t="shared" si="72"/>
        <v>0.125</v>
      </c>
      <c r="N1297" s="320">
        <f t="shared" si="72"/>
        <v>0.245</v>
      </c>
      <c r="O1297" s="318"/>
      <c r="P1297" s="324"/>
      <c r="Q1297" s="1" t="s">
        <v>8823</v>
      </c>
      <c r="R1297" s="321" t="s">
        <v>0</v>
      </c>
    </row>
    <row r="1298" spans="2:30" x14ac:dyDescent="0.35">
      <c r="C1298" s="351"/>
      <c r="D1298" s="325" t="s">
        <v>8832</v>
      </c>
      <c r="E1298" s="318"/>
      <c r="F1298" s="331">
        <v>1</v>
      </c>
      <c r="G1298" s="331">
        <v>2</v>
      </c>
      <c r="H1298" s="331">
        <v>2</v>
      </c>
      <c r="I1298" s="324"/>
      <c r="J1298" s="318">
        <v>50</v>
      </c>
      <c r="K1298" s="318"/>
      <c r="L1298" s="320">
        <f t="shared" si="72"/>
        <v>0.05</v>
      </c>
      <c r="M1298" s="320">
        <f t="shared" si="72"/>
        <v>0.2</v>
      </c>
      <c r="N1298" s="320">
        <f t="shared" si="72"/>
        <v>0.2</v>
      </c>
      <c r="O1298" s="318"/>
      <c r="P1298" s="324"/>
      <c r="Q1298" s="1" t="s">
        <v>8831</v>
      </c>
      <c r="R1298" s="321" t="s">
        <v>0</v>
      </c>
    </row>
    <row r="1299" spans="2:30" x14ac:dyDescent="0.35">
      <c r="C1299" s="351"/>
      <c r="D1299" s="325" t="s">
        <v>8833</v>
      </c>
      <c r="E1299" s="318"/>
      <c r="F1299" s="331">
        <v>1</v>
      </c>
      <c r="G1299" s="331">
        <v>2</v>
      </c>
      <c r="H1299" s="331">
        <v>2</v>
      </c>
      <c r="I1299" s="324"/>
      <c r="J1299" s="318">
        <v>50</v>
      </c>
      <c r="K1299" s="318"/>
      <c r="L1299" s="320">
        <f t="shared" si="72"/>
        <v>0.05</v>
      </c>
      <c r="M1299" s="320">
        <f t="shared" si="72"/>
        <v>0.2</v>
      </c>
      <c r="N1299" s="320">
        <f t="shared" si="72"/>
        <v>0.2</v>
      </c>
      <c r="O1299" s="318"/>
      <c r="P1299" s="324"/>
      <c r="Q1299" s="1" t="s">
        <v>8834</v>
      </c>
      <c r="R1299" s="321"/>
    </row>
    <row r="1300" spans="2:30" x14ac:dyDescent="0.35">
      <c r="C1300" s="351"/>
      <c r="D1300" s="325"/>
      <c r="E1300" s="318"/>
      <c r="F1300" s="331"/>
      <c r="G1300" s="331"/>
      <c r="H1300" s="331"/>
      <c r="I1300" s="324"/>
      <c r="J1300" s="318"/>
      <c r="K1300" s="318"/>
      <c r="L1300" s="318"/>
      <c r="M1300" s="318"/>
      <c r="N1300" s="318"/>
      <c r="O1300" s="318"/>
      <c r="P1300" s="324"/>
      <c r="Q1300" s="1"/>
      <c r="R1300" s="321"/>
    </row>
    <row r="1301" spans="2:30" x14ac:dyDescent="0.35">
      <c r="B1301" s="83" t="s">
        <v>4251</v>
      </c>
      <c r="C1301" s="351"/>
      <c r="D1301" s="325"/>
      <c r="E1301" s="318"/>
      <c r="F1301" s="330"/>
      <c r="G1301" s="324"/>
      <c r="H1301" s="313"/>
      <c r="I1301" s="324"/>
      <c r="J1301" s="318"/>
      <c r="K1301" s="318"/>
      <c r="L1301" s="318"/>
      <c r="M1301" s="318"/>
      <c r="N1301" s="318"/>
      <c r="O1301" s="318"/>
      <c r="P1301" s="324"/>
      <c r="Q1301" s="1"/>
    </row>
    <row r="1302" spans="2:30" x14ac:dyDescent="0.35">
      <c r="C1302" s="351"/>
      <c r="D1302" s="123" t="s">
        <v>2956</v>
      </c>
      <c r="E1302" s="318"/>
      <c r="F1302" s="123" t="s">
        <v>620</v>
      </c>
      <c r="G1302" s="324"/>
      <c r="H1302" s="123" t="s">
        <v>2978</v>
      </c>
      <c r="I1302" s="123" t="s">
        <v>4200</v>
      </c>
      <c r="J1302" s="123" t="s">
        <v>7770</v>
      </c>
      <c r="K1302" s="123" t="s">
        <v>4250</v>
      </c>
      <c r="L1302" s="318"/>
      <c r="M1302" s="318"/>
      <c r="N1302" s="318"/>
      <c r="O1302" s="318"/>
      <c r="P1302" s="324"/>
      <c r="Q1302" s="123" t="s">
        <v>2961</v>
      </c>
    </row>
    <row r="1303" spans="2:30" x14ac:dyDescent="0.35">
      <c r="C1303" s="351"/>
      <c r="D1303" s="325" t="s">
        <v>4256</v>
      </c>
      <c r="E1303" s="318"/>
      <c r="F1303" s="330">
        <v>0.08</v>
      </c>
      <c r="G1303" s="324"/>
      <c r="H1303" s="316" t="s">
        <v>7767</v>
      </c>
      <c r="I1303" s="324"/>
      <c r="J1303" s="318">
        <v>4</v>
      </c>
      <c r="K1303" s="313" t="s">
        <v>4257</v>
      </c>
      <c r="L1303" s="318"/>
      <c r="M1303" s="318"/>
      <c r="N1303" s="318"/>
      <c r="O1303" s="318"/>
      <c r="P1303" s="324"/>
      <c r="Q1303" s="1" t="s">
        <v>4255</v>
      </c>
      <c r="R1303" t="s">
        <v>0</v>
      </c>
      <c r="U1303" t="s">
        <v>0</v>
      </c>
    </row>
    <row r="1304" spans="2:30" x14ac:dyDescent="0.35">
      <c r="C1304" s="351"/>
      <c r="D1304" s="325"/>
      <c r="E1304" s="318"/>
      <c r="F1304" s="330"/>
      <c r="G1304" s="324"/>
      <c r="H1304" s="316"/>
      <c r="I1304" s="324"/>
      <c r="J1304" s="318"/>
      <c r="K1304" s="313"/>
      <c r="L1304" s="318"/>
      <c r="M1304" s="318"/>
      <c r="N1304" s="318"/>
      <c r="O1304" s="318"/>
      <c r="P1304" s="324"/>
      <c r="Q1304" s="321"/>
      <c r="S1304" s="1"/>
    </row>
    <row r="1305" spans="2:30" x14ac:dyDescent="0.35">
      <c r="B1305" s="83" t="s">
        <v>3314</v>
      </c>
      <c r="C1305" s="351"/>
    </row>
    <row r="1306" spans="2:30" ht="24.5" x14ac:dyDescent="0.35">
      <c r="C1306" s="351"/>
      <c r="D1306" s="123" t="s">
        <v>2956</v>
      </c>
      <c r="E1306" s="318"/>
      <c r="F1306" s="123" t="s">
        <v>620</v>
      </c>
      <c r="G1306" s="123" t="s">
        <v>2978</v>
      </c>
      <c r="H1306" s="123" t="s">
        <v>4652</v>
      </c>
      <c r="I1306" s="123" t="s">
        <v>4250</v>
      </c>
      <c r="J1306" s="123" t="s">
        <v>4200</v>
      </c>
      <c r="K1306" s="123" t="s">
        <v>1389</v>
      </c>
      <c r="L1306" s="123" t="s">
        <v>4327</v>
      </c>
      <c r="N1306" s="123" t="s">
        <v>4228</v>
      </c>
      <c r="O1306" s="321"/>
      <c r="P1306" s="123" t="s">
        <v>2961</v>
      </c>
      <c r="R1306" s="123" t="s">
        <v>4297</v>
      </c>
    </row>
    <row r="1307" spans="2:30" x14ac:dyDescent="0.35">
      <c r="C1307" s="351"/>
      <c r="D1307" s="297"/>
      <c r="E1307" s="318"/>
      <c r="F1307" s="297"/>
      <c r="G1307" s="297"/>
      <c r="H1307" s="297"/>
      <c r="I1307" s="297"/>
      <c r="J1307" s="297"/>
      <c r="K1307" s="297"/>
      <c r="L1307" s="297"/>
      <c r="N1307" s="297"/>
      <c r="O1307" s="321"/>
      <c r="P1307" s="297"/>
      <c r="R1307" s="297"/>
    </row>
    <row r="1308" spans="2:30" x14ac:dyDescent="0.35">
      <c r="C1308" s="351"/>
      <c r="D1308" s="401" t="s">
        <v>4663</v>
      </c>
      <c r="E1308" s="318"/>
      <c r="F1308" s="297"/>
      <c r="G1308" s="297"/>
      <c r="H1308" s="297"/>
      <c r="I1308" s="297"/>
      <c r="J1308" s="297"/>
      <c r="K1308" s="297"/>
      <c r="L1308" s="297"/>
      <c r="N1308" s="297"/>
      <c r="O1308" s="321"/>
      <c r="P1308" s="297"/>
      <c r="R1308" s="297"/>
    </row>
    <row r="1309" spans="2:30" x14ac:dyDescent="0.35">
      <c r="C1309" s="351"/>
      <c r="D1309" s="383" t="s">
        <v>4665</v>
      </c>
      <c r="E1309" s="318"/>
      <c r="F1309" s="323">
        <v>5.0000000000000001E-3</v>
      </c>
      <c r="G1309" s="318" t="str">
        <f>"0603"</f>
        <v>0603</v>
      </c>
      <c r="H1309" s="471">
        <v>1</v>
      </c>
      <c r="I1309" s="318">
        <v>25</v>
      </c>
      <c r="J1309" s="436">
        <v>0.1</v>
      </c>
      <c r="K1309" s="318" t="s">
        <v>4326</v>
      </c>
      <c r="L1309" s="313" t="s">
        <v>3155</v>
      </c>
      <c r="N1309" s="316" t="s">
        <v>7906</v>
      </c>
      <c r="O1309" s="321"/>
      <c r="P1309" s="1" t="s">
        <v>4664</v>
      </c>
      <c r="R1309" s="383" t="s">
        <v>4666</v>
      </c>
    </row>
    <row r="1310" spans="2:30" x14ac:dyDescent="0.35">
      <c r="C1310" s="351"/>
      <c r="D1310" s="297"/>
      <c r="E1310" s="318"/>
      <c r="F1310" s="297"/>
      <c r="G1310" s="297"/>
      <c r="H1310" s="297"/>
      <c r="I1310" s="297"/>
      <c r="J1310" s="297"/>
      <c r="K1310" s="297"/>
      <c r="L1310" s="297"/>
      <c r="N1310" s="297"/>
      <c r="O1310" s="321"/>
      <c r="P1310" s="297"/>
      <c r="R1310" s="297"/>
      <c r="W1310" s="686"/>
      <c r="X1310" s="693" t="s">
        <v>6781</v>
      </c>
      <c r="AD1310" s="81" t="s">
        <v>6772</v>
      </c>
    </row>
    <row r="1311" spans="2:30" x14ac:dyDescent="0.35">
      <c r="C1311" s="351"/>
      <c r="D1311" s="401" t="s">
        <v>7778</v>
      </c>
      <c r="E1311" s="318"/>
      <c r="F1311" s="297"/>
      <c r="G1311" s="297"/>
      <c r="H1311" s="297"/>
      <c r="I1311" s="297"/>
      <c r="J1311" s="297"/>
      <c r="K1311" s="297"/>
      <c r="L1311" s="297"/>
      <c r="N1311" s="297"/>
      <c r="O1311" s="321"/>
      <c r="P1311" s="297"/>
      <c r="R1311" s="297"/>
      <c r="X1311" s="1" t="s">
        <v>6773</v>
      </c>
      <c r="Z1311" t="s">
        <v>0</v>
      </c>
    </row>
    <row r="1312" spans="2:30" x14ac:dyDescent="0.35">
      <c r="C1312" s="351"/>
      <c r="D1312" s="316" t="s">
        <v>4325</v>
      </c>
      <c r="E1312" s="318"/>
      <c r="F1312" s="323">
        <v>4.0000000000000001E-3</v>
      </c>
      <c r="G1312" s="318" t="str">
        <f>"0603"</f>
        <v>0603</v>
      </c>
      <c r="H1312" s="471">
        <v>2.2000000000000001E-3</v>
      </c>
      <c r="I1312" s="318">
        <v>50</v>
      </c>
      <c r="J1312" s="436">
        <v>0.1</v>
      </c>
      <c r="K1312" s="318" t="s">
        <v>4326</v>
      </c>
      <c r="L1312" s="313" t="s">
        <v>3155</v>
      </c>
      <c r="N1312" s="316" t="s">
        <v>7907</v>
      </c>
      <c r="O1312" s="321"/>
      <c r="P1312" s="1" t="s">
        <v>4324</v>
      </c>
      <c r="R1312" s="472" t="s">
        <v>0</v>
      </c>
      <c r="V1312" t="s">
        <v>0</v>
      </c>
    </row>
    <row r="1313" spans="3:30" x14ac:dyDescent="0.35">
      <c r="D1313" s="316" t="s">
        <v>7776</v>
      </c>
      <c r="F1313" s="323">
        <v>5.0000000000000001E-3</v>
      </c>
      <c r="G1313" s="318" t="str">
        <f>"0603"</f>
        <v>0603</v>
      </c>
      <c r="H1313" s="471">
        <v>0.01</v>
      </c>
      <c r="I1313" s="318">
        <v>50</v>
      </c>
      <c r="J1313" s="436">
        <v>0.1</v>
      </c>
      <c r="K1313" s="318" t="s">
        <v>4326</v>
      </c>
      <c r="L1313" s="313" t="s">
        <v>3155</v>
      </c>
      <c r="N1313" s="316" t="s">
        <v>7908</v>
      </c>
      <c r="P1313" s="1" t="s">
        <v>7775</v>
      </c>
      <c r="R1313" s="472" t="s">
        <v>4657</v>
      </c>
    </row>
    <row r="1314" spans="3:30" x14ac:dyDescent="0.35">
      <c r="D1314" s="316" t="s">
        <v>4649</v>
      </c>
      <c r="F1314" s="323">
        <v>4.0000000000000001E-3</v>
      </c>
      <c r="G1314" s="318" t="str">
        <f>"0603"</f>
        <v>0603</v>
      </c>
      <c r="H1314" s="471">
        <v>0.1</v>
      </c>
      <c r="I1314" s="318">
        <v>50</v>
      </c>
      <c r="J1314" s="436">
        <v>0.1</v>
      </c>
      <c r="K1314" s="318" t="s">
        <v>4326</v>
      </c>
      <c r="L1314" s="313" t="s">
        <v>3155</v>
      </c>
      <c r="N1314" s="316" t="s">
        <v>7909</v>
      </c>
      <c r="O1314" s="321"/>
      <c r="P1314" s="1" t="s">
        <v>4648</v>
      </c>
      <c r="R1314" s="472" t="s">
        <v>4656</v>
      </c>
      <c r="X1314" s="686" t="s">
        <v>6782</v>
      </c>
      <c r="AD1314" s="690" t="s">
        <v>6780</v>
      </c>
    </row>
    <row r="1315" spans="3:30" x14ac:dyDescent="0.35">
      <c r="D1315" s="316" t="s">
        <v>4650</v>
      </c>
      <c r="F1315" s="323">
        <v>1.4999999999999999E-2</v>
      </c>
      <c r="G1315" s="318" t="str">
        <f>"0805"</f>
        <v>0805</v>
      </c>
      <c r="H1315" s="471">
        <v>0.47</v>
      </c>
      <c r="I1315" s="318">
        <v>50</v>
      </c>
      <c r="J1315" s="436">
        <v>0.1</v>
      </c>
      <c r="K1315" s="318" t="s">
        <v>4326</v>
      </c>
      <c r="L1315" s="313" t="s">
        <v>3155</v>
      </c>
      <c r="N1315" s="316" t="s">
        <v>7910</v>
      </c>
      <c r="P1315" s="1" t="s">
        <v>4651</v>
      </c>
      <c r="R1315" s="472" t="s">
        <v>4661</v>
      </c>
      <c r="AD1315" s="690"/>
    </row>
    <row r="1316" spans="3:30" x14ac:dyDescent="0.35">
      <c r="D1316" s="316"/>
      <c r="F1316" s="323"/>
      <c r="G1316" s="318"/>
      <c r="H1316" s="471"/>
      <c r="I1316" s="318"/>
      <c r="J1316" s="436"/>
      <c r="K1316" s="318"/>
      <c r="L1316" s="313"/>
      <c r="N1316" s="316"/>
      <c r="P1316" s="1"/>
      <c r="R1316" s="472"/>
      <c r="Z1316" t="s">
        <v>0</v>
      </c>
      <c r="AD1316" s="690"/>
    </row>
    <row r="1317" spans="3:30" x14ac:dyDescent="0.35">
      <c r="D1317" s="401" t="s">
        <v>7777</v>
      </c>
      <c r="F1317" s="297"/>
      <c r="G1317" s="474"/>
      <c r="H1317" s="297"/>
      <c r="I1317" s="297"/>
      <c r="J1317" s="297"/>
      <c r="L1317" s="297"/>
      <c r="M1317" s="297"/>
      <c r="N1317" t="s">
        <v>0</v>
      </c>
      <c r="P1317" s="297"/>
      <c r="R1317" s="135"/>
      <c r="AD1317" s="690"/>
    </row>
    <row r="1318" spans="3:30" x14ac:dyDescent="0.35">
      <c r="D1318" s="316" t="s">
        <v>7839</v>
      </c>
      <c r="F1318" s="323">
        <v>1.0999999999999999E-2</v>
      </c>
      <c r="G1318" s="318" t="str">
        <f>"0603"</f>
        <v>0603</v>
      </c>
      <c r="H1318" s="471">
        <v>2.2000000000000001E-3</v>
      </c>
      <c r="I1318" s="318">
        <v>100</v>
      </c>
      <c r="J1318" s="436">
        <v>0.1</v>
      </c>
      <c r="K1318" s="318" t="s">
        <v>4326</v>
      </c>
      <c r="L1318" s="313" t="s">
        <v>3155</v>
      </c>
      <c r="N1318" s="316" t="s">
        <v>7911</v>
      </c>
      <c r="O1318" s="321"/>
      <c r="P1318" s="1" t="s">
        <v>7838</v>
      </c>
      <c r="R1318" s="472" t="s">
        <v>0</v>
      </c>
      <c r="V1318" t="s">
        <v>0</v>
      </c>
      <c r="AD1318" s="690"/>
    </row>
    <row r="1319" spans="3:30" x14ac:dyDescent="0.35">
      <c r="D1319" s="316" t="s">
        <v>4660</v>
      </c>
      <c r="F1319" s="323">
        <v>0.04</v>
      </c>
      <c r="G1319" s="318">
        <v>1206</v>
      </c>
      <c r="H1319" s="471">
        <v>0.47</v>
      </c>
      <c r="I1319" s="318">
        <v>100</v>
      </c>
      <c r="J1319" s="436">
        <v>0.1</v>
      </c>
      <c r="K1319" s="318" t="s">
        <v>4326</v>
      </c>
      <c r="L1319" s="313" t="s">
        <v>3155</v>
      </c>
      <c r="N1319" s="316" t="s">
        <v>7912</v>
      </c>
      <c r="P1319" s="1" t="s">
        <v>7905</v>
      </c>
      <c r="R1319" s="472" t="s">
        <v>0</v>
      </c>
      <c r="W1319" s="686"/>
      <c r="X1319" s="693" t="s">
        <v>6781</v>
      </c>
      <c r="AA1319" s="692" t="s">
        <v>6763</v>
      </c>
      <c r="AD1319" s="81" t="s">
        <v>6772</v>
      </c>
    </row>
    <row r="1320" spans="3:30" x14ac:dyDescent="0.35">
      <c r="F1320" s="295"/>
      <c r="G1320" s="155"/>
      <c r="H1320" s="13"/>
      <c r="J1320" s="316"/>
      <c r="M1320" s="73"/>
      <c r="P1320" s="313"/>
      <c r="R1320" s="473"/>
      <c r="T1320" s="637"/>
      <c r="X1320" s="1" t="s">
        <v>6773</v>
      </c>
      <c r="Z1320" t="s">
        <v>0</v>
      </c>
      <c r="AA1320" s="1" t="s">
        <v>6762</v>
      </c>
      <c r="AC1320" t="s">
        <v>0</v>
      </c>
      <c r="AD1320" s="690" t="s">
        <v>0</v>
      </c>
    </row>
    <row r="1321" spans="3:30" x14ac:dyDescent="0.35">
      <c r="D1321" s="401" t="s">
        <v>7322</v>
      </c>
      <c r="G1321" s="155"/>
      <c r="H1321" s="13"/>
      <c r="R1321" s="135"/>
      <c r="X1321" s="686"/>
      <c r="AD1321" s="690"/>
    </row>
    <row r="1322" spans="3:30" x14ac:dyDescent="0.35">
      <c r="C1322" s="351" t="s">
        <v>3063</v>
      </c>
      <c r="D1322" s="295" t="s">
        <v>3188</v>
      </c>
      <c r="F1322" s="100">
        <v>2.5999999999999999E-2</v>
      </c>
      <c r="G1322" s="318" t="str">
        <f>"0805"</f>
        <v>0805</v>
      </c>
      <c r="H1322" s="16">
        <v>10</v>
      </c>
      <c r="I1322">
        <v>10</v>
      </c>
      <c r="J1322" s="53">
        <v>0.1</v>
      </c>
      <c r="K1322" s="318" t="s">
        <v>4326</v>
      </c>
      <c r="L1322" s="313" t="s">
        <v>3155</v>
      </c>
      <c r="N1322" s="295" t="s">
        <v>7913</v>
      </c>
      <c r="P1322" s="1" t="s">
        <v>3189</v>
      </c>
      <c r="R1322" s="472" t="s">
        <v>6758</v>
      </c>
      <c r="X1322" s="686" t="s">
        <v>6756</v>
      </c>
      <c r="Z1322" t="s">
        <v>0</v>
      </c>
      <c r="AD1322" s="690" t="s">
        <v>6771</v>
      </c>
    </row>
    <row r="1323" spans="3:30" x14ac:dyDescent="0.35">
      <c r="C1323" s="351" t="s">
        <v>3063</v>
      </c>
      <c r="D1323" s="295" t="s">
        <v>6755</v>
      </c>
      <c r="F1323" s="100" t="s">
        <v>6761</v>
      </c>
      <c r="G1323" s="318" t="str">
        <f>"0805"</f>
        <v>0805</v>
      </c>
      <c r="H1323" s="16">
        <v>10</v>
      </c>
      <c r="I1323">
        <v>16</v>
      </c>
      <c r="J1323" s="53">
        <v>0.1</v>
      </c>
      <c r="K1323" s="318" t="s">
        <v>4326</v>
      </c>
      <c r="L1323" s="313" t="s">
        <v>3155</v>
      </c>
      <c r="N1323" s="295" t="s">
        <v>7914</v>
      </c>
      <c r="P1323" s="1" t="s">
        <v>6754</v>
      </c>
      <c r="R1323" s="472" t="s">
        <v>6757</v>
      </c>
      <c r="X1323" s="686" t="s">
        <v>6777</v>
      </c>
      <c r="Z1323" t="s">
        <v>0</v>
      </c>
      <c r="AD1323" s="690" t="s">
        <v>6779</v>
      </c>
    </row>
    <row r="1324" spans="3:30" x14ac:dyDescent="0.35">
      <c r="C1324" s="351" t="s">
        <v>3063</v>
      </c>
      <c r="D1324" s="295" t="s">
        <v>3200</v>
      </c>
      <c r="F1324" s="100">
        <v>4.3999999999999997E-2</v>
      </c>
      <c r="G1324" s="318">
        <v>1206</v>
      </c>
      <c r="H1324" s="16">
        <v>10</v>
      </c>
      <c r="I1324">
        <v>25</v>
      </c>
      <c r="J1324" s="53">
        <v>0.1</v>
      </c>
      <c r="K1324" s="318" t="s">
        <v>4326</v>
      </c>
      <c r="L1324" s="313" t="s">
        <v>3155</v>
      </c>
      <c r="N1324" s="295" t="s">
        <v>7915</v>
      </c>
      <c r="P1324" s="1" t="s">
        <v>2616</v>
      </c>
      <c r="R1324" s="472" t="s">
        <v>6760</v>
      </c>
      <c r="X1324" s="686"/>
      <c r="AD1324" s="691" t="s">
        <v>6778</v>
      </c>
    </row>
    <row r="1325" spans="3:30" x14ac:dyDescent="0.35">
      <c r="C1325" s="351" t="s">
        <v>3063</v>
      </c>
      <c r="D1325" s="295" t="s">
        <v>4299</v>
      </c>
      <c r="F1325" s="100">
        <v>3.7999999999999999E-2</v>
      </c>
      <c r="G1325" s="318">
        <v>1206</v>
      </c>
      <c r="H1325" s="16">
        <v>2.2000000000000002</v>
      </c>
      <c r="I1325">
        <v>50</v>
      </c>
      <c r="J1325" s="53">
        <v>0.1</v>
      </c>
      <c r="K1325" s="318" t="s">
        <v>4326</v>
      </c>
      <c r="L1325" s="313" t="s">
        <v>3155</v>
      </c>
      <c r="M1325" s="73"/>
      <c r="N1325" s="295" t="s">
        <v>7916</v>
      </c>
      <c r="P1325" s="1" t="s">
        <v>2102</v>
      </c>
      <c r="R1325" s="472" t="s">
        <v>6759</v>
      </c>
      <c r="X1325" s="686" t="s">
        <v>4300</v>
      </c>
      <c r="Z1325" t="s">
        <v>0</v>
      </c>
    </row>
    <row r="1326" spans="3:30" x14ac:dyDescent="0.35">
      <c r="D1326" s="316" t="s">
        <v>7320</v>
      </c>
      <c r="F1326" s="323">
        <v>7.0000000000000001E-3</v>
      </c>
      <c r="G1326" s="318" t="str">
        <f>"0603"</f>
        <v>0603</v>
      </c>
      <c r="H1326" s="331">
        <v>1</v>
      </c>
      <c r="I1326" s="318">
        <v>16</v>
      </c>
      <c r="J1326" s="436">
        <v>0.2</v>
      </c>
      <c r="K1326" s="318" t="s">
        <v>4326</v>
      </c>
      <c r="L1326" s="313" t="s">
        <v>3155</v>
      </c>
      <c r="N1326" s="316" t="s">
        <v>7917</v>
      </c>
      <c r="P1326" s="1" t="s">
        <v>7321</v>
      </c>
      <c r="R1326" s="472" t="s">
        <v>0</v>
      </c>
      <c r="AD1326" s="690"/>
    </row>
    <row r="1327" spans="3:30" x14ac:dyDescent="0.35">
      <c r="D1327" s="1"/>
      <c r="F1327" s="323"/>
      <c r="H1327" s="316"/>
      <c r="I1327" s="53"/>
      <c r="J1327" s="436"/>
      <c r="L1327" s="318"/>
      <c r="M1327" s="318"/>
      <c r="N1327" s="313"/>
      <c r="P1327" s="325"/>
      <c r="R1327" s="472"/>
      <c r="T1327" s="1"/>
    </row>
    <row r="1328" spans="3:30" x14ac:dyDescent="0.35">
      <c r="D1328" s="401" t="s">
        <v>4662</v>
      </c>
      <c r="F1328" s="297"/>
      <c r="G1328" s="297"/>
      <c r="H1328" s="297"/>
      <c r="I1328" s="297"/>
      <c r="J1328" s="297"/>
      <c r="L1328" s="297"/>
      <c r="M1328" s="123" t="s">
        <v>5365</v>
      </c>
      <c r="N1328" t="s">
        <v>0</v>
      </c>
      <c r="P1328" s="297"/>
      <c r="R1328" s="135"/>
    </row>
    <row r="1329" spans="2:29" x14ac:dyDescent="0.35">
      <c r="D1329" s="352" t="s">
        <v>3153</v>
      </c>
      <c r="F1329" s="8">
        <v>7.0000000000000007E-2</v>
      </c>
      <c r="G1329" s="316" t="s">
        <v>3152</v>
      </c>
      <c r="H1329" s="16">
        <v>1</v>
      </c>
      <c r="I1329">
        <v>100</v>
      </c>
      <c r="J1329" s="53">
        <v>0.1</v>
      </c>
      <c r="L1329" s="313" t="s">
        <v>3155</v>
      </c>
      <c r="M1329" s="532">
        <f>F1329/H1329</f>
        <v>7.0000000000000007E-2</v>
      </c>
      <c r="P1329" s="1" t="s">
        <v>2095</v>
      </c>
      <c r="R1329" s="135" t="s">
        <v>0</v>
      </c>
    </row>
    <row r="1330" spans="2:29" x14ac:dyDescent="0.35">
      <c r="C1330" s="351" t="s">
        <v>3063</v>
      </c>
      <c r="D1330" s="352" t="s">
        <v>4658</v>
      </c>
      <c r="F1330" s="8">
        <v>0.08</v>
      </c>
      <c r="G1330" s="316" t="s">
        <v>3152</v>
      </c>
      <c r="H1330" s="16">
        <v>2.2000000000000002</v>
      </c>
      <c r="I1330">
        <v>100</v>
      </c>
      <c r="J1330" s="53">
        <v>0.1</v>
      </c>
      <c r="L1330" s="313" t="s">
        <v>3155</v>
      </c>
      <c r="M1330" s="532">
        <f>F1330/H1330</f>
        <v>3.6363636363636362E-2</v>
      </c>
      <c r="N1330" s="295" t="s">
        <v>7918</v>
      </c>
      <c r="P1330" s="1" t="s">
        <v>3151</v>
      </c>
      <c r="R1330" s="472" t="s">
        <v>4298</v>
      </c>
      <c r="W1330" s="1" t="s">
        <v>3930</v>
      </c>
      <c r="Y1330" t="s">
        <v>0</v>
      </c>
      <c r="Z1330" s="1" t="s">
        <v>3931</v>
      </c>
      <c r="AB1330" t="s">
        <v>0</v>
      </c>
      <c r="AC1330" t="s">
        <v>4659</v>
      </c>
    </row>
    <row r="1331" spans="2:29" x14ac:dyDescent="0.35">
      <c r="D1331" s="352" t="s">
        <v>3201</v>
      </c>
      <c r="F1331" s="8">
        <v>0.28000000000000003</v>
      </c>
      <c r="G1331" s="316" t="s">
        <v>3152</v>
      </c>
      <c r="H1331" s="16">
        <v>3.3</v>
      </c>
      <c r="I1331">
        <v>100</v>
      </c>
      <c r="J1331" s="53">
        <v>0.1</v>
      </c>
      <c r="L1331" s="313" t="s">
        <v>3155</v>
      </c>
      <c r="M1331" s="532">
        <f>F1331/H1331</f>
        <v>8.4848484848484867E-2</v>
      </c>
      <c r="P1331" s="1"/>
      <c r="R1331" s="135"/>
    </row>
    <row r="1332" spans="2:29" x14ac:dyDescent="0.35">
      <c r="D1332" s="352" t="s">
        <v>3205</v>
      </c>
      <c r="F1332" s="8">
        <v>0.21</v>
      </c>
      <c r="G1332" s="316" t="s">
        <v>3152</v>
      </c>
      <c r="H1332" s="16">
        <v>4.7</v>
      </c>
      <c r="I1332">
        <v>100</v>
      </c>
      <c r="J1332" s="53">
        <v>0.1</v>
      </c>
      <c r="L1332" s="313" t="s">
        <v>3155</v>
      </c>
      <c r="M1332" s="532">
        <f>F1332/H1332</f>
        <v>4.4680851063829782E-2</v>
      </c>
      <c r="P1332" s="1" t="s">
        <v>3202</v>
      </c>
      <c r="R1332" s="135" t="s">
        <v>0</v>
      </c>
    </row>
    <row r="1333" spans="2:29" x14ac:dyDescent="0.35">
      <c r="D1333" s="352" t="s">
        <v>3203</v>
      </c>
      <c r="F1333" s="8">
        <v>0.47</v>
      </c>
      <c r="G1333" s="316" t="s">
        <v>3152</v>
      </c>
      <c r="H1333" s="16">
        <v>10</v>
      </c>
      <c r="I1333">
        <v>100</v>
      </c>
      <c r="J1333" s="53">
        <v>0.1</v>
      </c>
      <c r="L1333" s="313" t="s">
        <v>3155</v>
      </c>
      <c r="M1333" s="532">
        <f>F1333/H1333</f>
        <v>4.7E-2</v>
      </c>
      <c r="P1333" s="1" t="s">
        <v>3204</v>
      </c>
      <c r="R1333" s="135" t="s">
        <v>0</v>
      </c>
    </row>
    <row r="1334" spans="2:29" x14ac:dyDescent="0.35">
      <c r="D1334" s="352"/>
      <c r="F1334" s="8"/>
      <c r="G1334" s="316"/>
      <c r="H1334" s="16"/>
      <c r="J1334" s="53"/>
      <c r="L1334" s="313"/>
      <c r="M1334" s="9"/>
      <c r="P1334" s="1"/>
      <c r="R1334" s="135"/>
    </row>
    <row r="1335" spans="2:29" x14ac:dyDescent="0.35">
      <c r="D1335" s="401" t="s">
        <v>5497</v>
      </c>
      <c r="F1335" s="8"/>
      <c r="G1335" s="316"/>
      <c r="H1335" s="16"/>
      <c r="J1335" s="53"/>
      <c r="L1335" s="313"/>
      <c r="M1335" s="9"/>
      <c r="P1335" s="1"/>
      <c r="R1335" s="135"/>
    </row>
    <row r="1336" spans="2:29" x14ac:dyDescent="0.35">
      <c r="D1336" s="352" t="s">
        <v>5496</v>
      </c>
      <c r="F1336" s="8">
        <v>0.04</v>
      </c>
      <c r="G1336" s="318">
        <v>1206</v>
      </c>
      <c r="H1336" s="331">
        <v>0.1</v>
      </c>
      <c r="I1336">
        <v>250</v>
      </c>
      <c r="J1336" s="53">
        <v>0.2</v>
      </c>
      <c r="K1336" s="53"/>
      <c r="L1336" s="313" t="s">
        <v>3155</v>
      </c>
      <c r="M1336" s="73"/>
      <c r="N1336" s="295" t="s">
        <v>7919</v>
      </c>
      <c r="P1336" s="1" t="s">
        <v>5498</v>
      </c>
      <c r="R1336" s="472" t="s">
        <v>0</v>
      </c>
    </row>
    <row r="1337" spans="2:29" x14ac:dyDescent="0.35">
      <c r="D1337" s="352"/>
      <c r="F1337" s="8"/>
      <c r="G1337" s="318"/>
      <c r="H1337" s="331"/>
      <c r="J1337" s="53"/>
      <c r="K1337" s="53"/>
      <c r="L1337" s="313"/>
      <c r="M1337" s="73"/>
      <c r="N1337" s="295"/>
      <c r="P1337" s="1"/>
      <c r="R1337" s="472"/>
    </row>
    <row r="1338" spans="2:29" ht="24.5" x14ac:dyDescent="0.35">
      <c r="B1338" s="83" t="s">
        <v>2577</v>
      </c>
      <c r="D1338" s="123" t="s">
        <v>2956</v>
      </c>
      <c r="F1338" s="123" t="s">
        <v>620</v>
      </c>
      <c r="G1338" s="123" t="s">
        <v>2978</v>
      </c>
      <c r="I1338" s="123" t="s">
        <v>3193</v>
      </c>
      <c r="J1338" s="123" t="s">
        <v>3194</v>
      </c>
      <c r="K1338" s="123" t="s">
        <v>3195</v>
      </c>
      <c r="L1338" s="123" t="s">
        <v>3154</v>
      </c>
      <c r="M1338" s="123" t="s">
        <v>3230</v>
      </c>
      <c r="N1338" s="123" t="s">
        <v>3197</v>
      </c>
      <c r="O1338" s="123" t="s">
        <v>2793</v>
      </c>
      <c r="P1338" s="123" t="s">
        <v>4228</v>
      </c>
      <c r="Q1338" s="123" t="s">
        <v>2961</v>
      </c>
      <c r="R1338" s="4"/>
      <c r="S1338" s="123" t="s">
        <v>4228</v>
      </c>
      <c r="T1338" s="123" t="s">
        <v>2310</v>
      </c>
      <c r="U1338" s="123" t="s">
        <v>3308</v>
      </c>
      <c r="V1338" s="123" t="s">
        <v>3309</v>
      </c>
      <c r="W1338" s="333" t="s">
        <v>3232</v>
      </c>
      <c r="X1338" s="123" t="s">
        <v>3310</v>
      </c>
      <c r="Y1338" s="123" t="s">
        <v>3311</v>
      </c>
      <c r="Z1338" s="123" t="s">
        <v>3312</v>
      </c>
      <c r="AA1338" s="333" t="s">
        <v>3313</v>
      </c>
    </row>
    <row r="1339" spans="2:29" x14ac:dyDescent="0.35">
      <c r="D1339" s="401" t="s">
        <v>7835</v>
      </c>
      <c r="F1339" s="297"/>
      <c r="G1339" s="297"/>
      <c r="I1339" s="297"/>
      <c r="J1339" s="297"/>
      <c r="K1339" s="297"/>
      <c r="L1339" s="297"/>
      <c r="M1339" s="297"/>
      <c r="N1339" s="297"/>
      <c r="O1339" s="297"/>
      <c r="Q1339" s="297"/>
      <c r="R1339" s="7"/>
    </row>
    <row r="1340" spans="2:29" x14ac:dyDescent="0.35">
      <c r="C1340" s="351" t="s">
        <v>3063</v>
      </c>
      <c r="D1340" s="295" t="s">
        <v>3191</v>
      </c>
      <c r="F1340" s="8">
        <v>0.08</v>
      </c>
      <c r="G1340" s="316" t="s">
        <v>3190</v>
      </c>
      <c r="I1340" s="409">
        <v>6.8</v>
      </c>
      <c r="J1340">
        <v>570</v>
      </c>
      <c r="K1340">
        <v>750</v>
      </c>
      <c r="L1340" s="313" t="s">
        <v>6633</v>
      </c>
      <c r="M1340" s="73"/>
      <c r="N1340" s="73" t="s">
        <v>3198</v>
      </c>
      <c r="O1340" s="313" t="s">
        <v>3199</v>
      </c>
      <c r="Q1340" s="1" t="s">
        <v>3196</v>
      </c>
      <c r="S1340" t="s">
        <v>0</v>
      </c>
    </row>
    <row r="1341" spans="2:29" x14ac:dyDescent="0.35">
      <c r="D1341" s="295" t="s">
        <v>5530</v>
      </c>
      <c r="F1341" s="8">
        <v>0.1</v>
      </c>
      <c r="G1341" s="316" t="s">
        <v>5531</v>
      </c>
      <c r="I1341" s="15">
        <v>33</v>
      </c>
      <c r="J1341">
        <v>550</v>
      </c>
      <c r="K1341">
        <v>700</v>
      </c>
      <c r="L1341" s="313" t="s">
        <v>6633</v>
      </c>
      <c r="M1341">
        <v>552</v>
      </c>
      <c r="N1341" s="73" t="s">
        <v>3198</v>
      </c>
      <c r="O1341" s="313" t="s">
        <v>3199</v>
      </c>
      <c r="P1341" s="314" t="s">
        <v>7934</v>
      </c>
      <c r="Q1341" s="1" t="s">
        <v>5529</v>
      </c>
      <c r="S1341" t="s">
        <v>0</v>
      </c>
    </row>
    <row r="1342" spans="2:29" x14ac:dyDescent="0.35">
      <c r="C1342" s="351" t="s">
        <v>3063</v>
      </c>
      <c r="D1342" s="295" t="s">
        <v>6632</v>
      </c>
      <c r="F1342" s="8">
        <v>0.1</v>
      </c>
      <c r="G1342" s="316" t="s">
        <v>5531</v>
      </c>
      <c r="I1342" s="15">
        <v>100</v>
      </c>
      <c r="J1342">
        <v>280</v>
      </c>
      <c r="K1342">
        <v>420</v>
      </c>
      <c r="L1342" s="313" t="s">
        <v>6633</v>
      </c>
      <c r="M1342" s="162">
        <v>1740</v>
      </c>
      <c r="N1342" s="73" t="s">
        <v>3198</v>
      </c>
      <c r="O1342" s="313" t="s">
        <v>3199</v>
      </c>
      <c r="P1342" s="314" t="s">
        <v>7935</v>
      </c>
      <c r="Q1342" s="1" t="s">
        <v>6631</v>
      </c>
      <c r="S1342" t="s">
        <v>0</v>
      </c>
    </row>
    <row r="1343" spans="2:29" x14ac:dyDescent="0.35">
      <c r="C1343" s="351" t="s">
        <v>3063</v>
      </c>
      <c r="D1343" s="295" t="s">
        <v>6753</v>
      </c>
      <c r="F1343" s="8">
        <v>0.14000000000000001</v>
      </c>
      <c r="G1343" s="316" t="s">
        <v>6752</v>
      </c>
      <c r="I1343" s="15">
        <v>33</v>
      </c>
      <c r="J1343">
        <v>1100</v>
      </c>
      <c r="K1343">
        <v>1100</v>
      </c>
      <c r="L1343" s="313" t="s">
        <v>3192</v>
      </c>
      <c r="M1343">
        <v>286</v>
      </c>
      <c r="N1343" s="73" t="s">
        <v>3198</v>
      </c>
      <c r="O1343" s="313" t="s">
        <v>3199</v>
      </c>
      <c r="P1343" s="314" t="s">
        <v>7936</v>
      </c>
      <c r="Q1343" s="1" t="s">
        <v>6751</v>
      </c>
      <c r="S1343" t="s">
        <v>0</v>
      </c>
    </row>
    <row r="1344" spans="2:29" x14ac:dyDescent="0.35">
      <c r="C1344" s="351" t="s">
        <v>3063</v>
      </c>
      <c r="D1344" s="295" t="s">
        <v>7831</v>
      </c>
      <c r="F1344" s="8">
        <v>0.1</v>
      </c>
      <c r="G1344" s="316" t="s">
        <v>7832</v>
      </c>
      <c r="I1344" s="15">
        <v>33</v>
      </c>
      <c r="J1344" s="162">
        <v>400</v>
      </c>
      <c r="K1344" s="73">
        <v>400</v>
      </c>
      <c r="L1344" s="313" t="s">
        <v>3236</v>
      </c>
      <c r="M1344" s="73">
        <v>720</v>
      </c>
      <c r="N1344" s="73" t="s">
        <v>3198</v>
      </c>
      <c r="O1344" s="313"/>
      <c r="P1344" s="295" t="s">
        <v>7833</v>
      </c>
      <c r="Q1344" s="1" t="s">
        <v>7830</v>
      </c>
      <c r="S1344" t="s">
        <v>0</v>
      </c>
      <c r="U1344" s="162"/>
      <c r="Z1344" s="12"/>
      <c r="AA1344" s="315"/>
      <c r="AB1344" s="89"/>
    </row>
    <row r="1345" spans="3:31" x14ac:dyDescent="0.35">
      <c r="C1345" s="351" t="s">
        <v>3063</v>
      </c>
      <c r="D1345" s="295" t="s">
        <v>7878</v>
      </c>
      <c r="F1345" s="8">
        <v>0.14000000000000001</v>
      </c>
      <c r="G1345" s="316" t="s">
        <v>6752</v>
      </c>
      <c r="I1345" s="15">
        <v>15</v>
      </c>
      <c r="J1345" s="162">
        <v>1800</v>
      </c>
      <c r="K1345" s="73">
        <v>1600</v>
      </c>
      <c r="L1345" s="313" t="s">
        <v>3858</v>
      </c>
      <c r="M1345" s="73">
        <v>123</v>
      </c>
      <c r="N1345" s="73" t="s">
        <v>3198</v>
      </c>
      <c r="O1345" s="313" t="s">
        <v>3199</v>
      </c>
      <c r="P1345" s="314" t="s">
        <v>7937</v>
      </c>
      <c r="Q1345" s="1" t="s">
        <v>7877</v>
      </c>
      <c r="S1345" t="s">
        <v>0</v>
      </c>
      <c r="U1345" s="162"/>
      <c r="Z1345" s="12"/>
      <c r="AA1345" s="315"/>
      <c r="AB1345" s="89"/>
    </row>
    <row r="1346" spans="3:31" x14ac:dyDescent="0.35">
      <c r="Q1346" s="1"/>
    </row>
    <row r="1347" spans="3:31" x14ac:dyDescent="0.35">
      <c r="D1347" s="401" t="s">
        <v>3238</v>
      </c>
      <c r="F1347" s="332"/>
      <c r="G1347" s="316"/>
      <c r="I1347" s="73"/>
      <c r="L1347" s="313"/>
      <c r="M1347" s="73"/>
      <c r="N1347" s="73"/>
      <c r="O1347" s="313"/>
      <c r="Q1347" s="1"/>
    </row>
    <row r="1348" spans="3:31" x14ac:dyDescent="0.35">
      <c r="C1348" s="351" t="s">
        <v>3063</v>
      </c>
      <c r="D1348" s="295" t="s">
        <v>3227</v>
      </c>
      <c r="F1348" s="8">
        <v>0.85</v>
      </c>
      <c r="G1348" s="316" t="s">
        <v>3228</v>
      </c>
      <c r="I1348" s="16">
        <v>56</v>
      </c>
      <c r="J1348" s="162">
        <v>4000</v>
      </c>
      <c r="K1348" s="162">
        <v>4300</v>
      </c>
      <c r="L1348" s="313" t="s">
        <v>3229</v>
      </c>
      <c r="M1348" s="73">
        <v>56</v>
      </c>
      <c r="N1348" s="73" t="s">
        <v>3198</v>
      </c>
      <c r="O1348" s="313"/>
      <c r="P1348" s="314" t="s">
        <v>8097</v>
      </c>
      <c r="Q1348" s="1" t="s">
        <v>3226</v>
      </c>
      <c r="S1348" t="s">
        <v>0</v>
      </c>
      <c r="T1348">
        <v>4</v>
      </c>
      <c r="U1348" s="162">
        <f>K1348*T1348</f>
        <v>17200</v>
      </c>
      <c r="V1348" s="15">
        <f>I1348/T1348</f>
        <v>14</v>
      </c>
      <c r="W1348">
        <f>M1348/T1348</f>
        <v>14</v>
      </c>
      <c r="X1348">
        <v>8</v>
      </c>
      <c r="Y1348">
        <f>X1348/T1348</f>
        <v>2</v>
      </c>
      <c r="Z1348" s="12">
        <f>Y1348^2*M1348*0.001</f>
        <v>0.224</v>
      </c>
      <c r="AA1348" s="315">
        <f>T1348*F1348</f>
        <v>3.4</v>
      </c>
      <c r="AB1348" s="89" t="s">
        <v>3231</v>
      </c>
    </row>
    <row r="1349" spans="3:31" x14ac:dyDescent="0.35">
      <c r="D1349" s="295" t="s">
        <v>3234</v>
      </c>
      <c r="F1349" s="8">
        <v>0.95</v>
      </c>
      <c r="G1349" s="316" t="s">
        <v>3235</v>
      </c>
      <c r="I1349" s="73">
        <v>4.5</v>
      </c>
      <c r="J1349" s="162">
        <v>16000</v>
      </c>
      <c r="K1349" s="162">
        <v>13600</v>
      </c>
      <c r="L1349" s="313" t="s">
        <v>3236</v>
      </c>
      <c r="M1349" s="73">
        <v>5</v>
      </c>
      <c r="N1349" s="73" t="s">
        <v>3198</v>
      </c>
      <c r="O1349" s="313"/>
      <c r="Q1349" s="1" t="s">
        <v>3233</v>
      </c>
      <c r="S1349" t="s">
        <v>0</v>
      </c>
      <c r="T1349">
        <v>4</v>
      </c>
      <c r="U1349" s="162">
        <f>J1349</f>
        <v>16000</v>
      </c>
      <c r="V1349" s="15">
        <f>T1349*I1349</f>
        <v>18</v>
      </c>
      <c r="W1349">
        <f>M1349</f>
        <v>5</v>
      </c>
      <c r="X1349">
        <f>X1348</f>
        <v>8</v>
      </c>
      <c r="Y1349">
        <f>X1349</f>
        <v>8</v>
      </c>
      <c r="Z1349" s="12">
        <f>Y1349^2*M1349*0.001</f>
        <v>0.32</v>
      </c>
      <c r="AA1349" s="315">
        <f>T1349*F1349</f>
        <v>3.8</v>
      </c>
      <c r="AB1349" s="89" t="s">
        <v>3237</v>
      </c>
    </row>
    <row r="1350" spans="3:31" x14ac:dyDescent="0.35">
      <c r="C1350" s="351" t="s">
        <v>3063</v>
      </c>
      <c r="D1350" s="295" t="s">
        <v>4654</v>
      </c>
      <c r="F1350" s="8">
        <v>0.48</v>
      </c>
      <c r="G1350" s="316" t="s">
        <v>4655</v>
      </c>
      <c r="I1350" s="16">
        <v>10</v>
      </c>
      <c r="J1350" s="162">
        <v>4500</v>
      </c>
      <c r="K1350" s="162">
        <v>3700</v>
      </c>
      <c r="L1350" s="313" t="s">
        <v>3236</v>
      </c>
      <c r="M1350" s="73">
        <v>18</v>
      </c>
      <c r="N1350" s="73" t="s">
        <v>3198</v>
      </c>
      <c r="O1350" s="313"/>
      <c r="P1350" s="314" t="s">
        <v>7933</v>
      </c>
      <c r="Q1350" s="1" t="s">
        <v>4653</v>
      </c>
      <c r="S1350" t="s">
        <v>0</v>
      </c>
      <c r="T1350">
        <v>4</v>
      </c>
      <c r="U1350" s="162">
        <f>J1350</f>
        <v>4500</v>
      </c>
      <c r="V1350" s="15">
        <f>T1350*I1350</f>
        <v>40</v>
      </c>
      <c r="W1350">
        <f>M1350</f>
        <v>18</v>
      </c>
      <c r="X1350">
        <f>X1349</f>
        <v>8</v>
      </c>
      <c r="Y1350">
        <f>X1350</f>
        <v>8</v>
      </c>
      <c r="Z1350" s="12">
        <f>Y1350^2*M1350*0.001</f>
        <v>1.1520000000000001</v>
      </c>
      <c r="AA1350" s="315">
        <f>T1350*F1350</f>
        <v>1.92</v>
      </c>
      <c r="AB1350" s="89" t="s">
        <v>3237</v>
      </c>
    </row>
    <row r="1351" spans="3:31" x14ac:dyDescent="0.35">
      <c r="D1351" s="295" t="s">
        <v>5509</v>
      </c>
      <c r="F1351" s="8">
        <v>0.18</v>
      </c>
      <c r="G1351" s="316" t="s">
        <v>5510</v>
      </c>
      <c r="I1351" s="16">
        <v>10</v>
      </c>
      <c r="J1351" s="162">
        <v>3100</v>
      </c>
      <c r="K1351" s="162">
        <v>3400</v>
      </c>
      <c r="L1351" s="313" t="s">
        <v>3192</v>
      </c>
      <c r="M1351" s="73">
        <v>44</v>
      </c>
      <c r="N1351" s="73" t="s">
        <v>3198</v>
      </c>
      <c r="O1351" s="313"/>
      <c r="Q1351" s="1" t="s">
        <v>5508</v>
      </c>
      <c r="S1351" t="s">
        <v>0</v>
      </c>
      <c r="T1351">
        <v>5</v>
      </c>
      <c r="U1351" s="162">
        <f>K1351*T1351</f>
        <v>17000</v>
      </c>
      <c r="V1351" s="15">
        <f>I1351/T1351</f>
        <v>2</v>
      </c>
      <c r="W1351" s="13">
        <f>M1351/T1351</f>
        <v>8.8000000000000007</v>
      </c>
      <c r="X1351">
        <v>8</v>
      </c>
      <c r="Y1351" s="13">
        <f>X1351/T1351</f>
        <v>1.6</v>
      </c>
      <c r="Z1351" s="12">
        <f>Y1351^2*M1351*0.001</f>
        <v>0.11264000000000002</v>
      </c>
      <c r="AA1351" s="315">
        <f>T1351*F1351</f>
        <v>0.89999999999999991</v>
      </c>
      <c r="AB1351" s="89" t="s">
        <v>5511</v>
      </c>
    </row>
    <row r="1352" spans="3:31" x14ac:dyDescent="0.35">
      <c r="C1352" s="351"/>
      <c r="D1352" s="295" t="s">
        <v>7806</v>
      </c>
      <c r="F1352" s="8">
        <v>0.68</v>
      </c>
      <c r="G1352" s="316" t="s">
        <v>7805</v>
      </c>
      <c r="I1352" s="16">
        <v>8.1999999999999993</v>
      </c>
      <c r="J1352" s="162">
        <v>9000</v>
      </c>
      <c r="K1352" s="162">
        <v>13000</v>
      </c>
      <c r="L1352" s="313" t="s">
        <v>3236</v>
      </c>
      <c r="M1352" s="73">
        <v>21</v>
      </c>
      <c r="N1352" s="73" t="s">
        <v>3198</v>
      </c>
      <c r="O1352" s="313"/>
      <c r="Q1352" s="1" t="s">
        <v>7804</v>
      </c>
      <c r="S1352" t="s">
        <v>0</v>
      </c>
      <c r="T1352">
        <v>4</v>
      </c>
      <c r="U1352" s="162">
        <f>J1352</f>
        <v>9000</v>
      </c>
      <c r="V1352" s="15">
        <f>T1352*I1352</f>
        <v>32.799999999999997</v>
      </c>
      <c r="W1352">
        <f>M1352</f>
        <v>21</v>
      </c>
      <c r="X1352">
        <f>X1351</f>
        <v>8</v>
      </c>
      <c r="Y1352">
        <f>X1352</f>
        <v>8</v>
      </c>
      <c r="Z1352" s="12">
        <f>Y1352^2*M1352*0.001</f>
        <v>1.3440000000000001</v>
      </c>
      <c r="AA1352" s="315">
        <f>T1352*F1352</f>
        <v>2.72</v>
      </c>
      <c r="AB1352" s="89" t="s">
        <v>3237</v>
      </c>
    </row>
    <row r="1353" spans="3:31" x14ac:dyDescent="0.35">
      <c r="D1353" s="295"/>
      <c r="F1353" s="8"/>
      <c r="G1353" s="316"/>
      <c r="I1353" s="73"/>
      <c r="J1353" s="162"/>
      <c r="K1353" s="162"/>
      <c r="L1353" s="313"/>
      <c r="M1353" s="73"/>
      <c r="N1353" s="73"/>
      <c r="O1353" s="313"/>
      <c r="Q1353" s="1"/>
      <c r="U1353" s="162"/>
      <c r="Z1353" s="12"/>
      <c r="AA1353" s="315"/>
      <c r="AB1353" s="89"/>
    </row>
    <row r="1354" spans="3:31" x14ac:dyDescent="0.35">
      <c r="D1354" s="401" t="s">
        <v>7267</v>
      </c>
      <c r="F1354" s="8"/>
      <c r="G1354" s="316"/>
      <c r="I1354" s="73"/>
      <c r="J1354" s="162"/>
      <c r="K1354" s="162"/>
      <c r="L1354" s="313"/>
      <c r="M1354" s="73"/>
      <c r="N1354" s="73"/>
      <c r="O1354" s="313"/>
      <c r="Q1354" s="1"/>
      <c r="U1354" s="162"/>
      <c r="Z1354" s="12"/>
      <c r="AA1354" s="315"/>
      <c r="AB1354" s="89"/>
    </row>
    <row r="1355" spans="3:31" x14ac:dyDescent="0.35">
      <c r="D1355" s="295" t="s">
        <v>3856</v>
      </c>
      <c r="F1355" s="315">
        <v>0.4</v>
      </c>
      <c r="G1355" s="316" t="s">
        <v>3857</v>
      </c>
      <c r="I1355" s="73">
        <v>0.68</v>
      </c>
      <c r="J1355" s="162">
        <v>18000</v>
      </c>
      <c r="K1355" s="162">
        <v>16000</v>
      </c>
      <c r="L1355" s="313" t="s">
        <v>3858</v>
      </c>
      <c r="M1355" s="73">
        <v>2.2000000000000002</v>
      </c>
      <c r="N1355" s="73" t="s">
        <v>3198</v>
      </c>
      <c r="O1355" s="313"/>
      <c r="Q1355" s="1" t="s">
        <v>3855</v>
      </c>
      <c r="S1355" t="s">
        <v>0</v>
      </c>
      <c r="U1355" s="162"/>
      <c r="Z1355" s="12"/>
      <c r="AA1355" s="315"/>
      <c r="AB1355" s="89"/>
    </row>
    <row r="1356" spans="3:31" x14ac:dyDescent="0.35">
      <c r="C1356" s="351" t="s">
        <v>3063</v>
      </c>
      <c r="D1356" s="295" t="s">
        <v>3891</v>
      </c>
      <c r="F1356" s="315">
        <v>0.34</v>
      </c>
      <c r="G1356" s="316" t="s">
        <v>3892</v>
      </c>
      <c r="I1356" s="317">
        <v>1.3</v>
      </c>
      <c r="J1356" s="162">
        <v>18000</v>
      </c>
      <c r="K1356" s="162">
        <v>17000</v>
      </c>
      <c r="L1356" s="313" t="s">
        <v>3858</v>
      </c>
      <c r="M1356" s="73">
        <v>2.2999999999999998</v>
      </c>
      <c r="N1356" s="73" t="s">
        <v>3198</v>
      </c>
      <c r="O1356" s="313"/>
      <c r="P1356" s="295" t="s">
        <v>7938</v>
      </c>
      <c r="Q1356" s="1" t="s">
        <v>3890</v>
      </c>
      <c r="S1356" t="s">
        <v>0</v>
      </c>
      <c r="U1356" s="162"/>
      <c r="Z1356" s="12"/>
      <c r="AA1356" s="315"/>
      <c r="AB1356" s="89"/>
    </row>
    <row r="1357" spans="3:31" x14ac:dyDescent="0.35">
      <c r="D1357" s="295"/>
      <c r="F1357" s="315"/>
      <c r="G1357" s="316"/>
      <c r="I1357" s="317"/>
      <c r="J1357" s="162"/>
      <c r="K1357" s="162"/>
      <c r="L1357" s="313"/>
      <c r="M1357" s="73"/>
      <c r="N1357" s="73"/>
      <c r="O1357" s="313"/>
      <c r="Q1357" s="1"/>
      <c r="U1357" s="162"/>
      <c r="Z1357" s="12"/>
      <c r="AA1357" s="315"/>
      <c r="AB1357" s="89"/>
    </row>
    <row r="1358" spans="3:31" x14ac:dyDescent="0.35">
      <c r="D1358" s="401" t="s">
        <v>4310</v>
      </c>
      <c r="F1358" s="315"/>
      <c r="G1358" s="316"/>
      <c r="I1358" s="317"/>
      <c r="J1358" s="162"/>
      <c r="K1358" s="162"/>
      <c r="L1358" s="313"/>
      <c r="M1358" s="73"/>
      <c r="N1358" s="73"/>
      <c r="O1358" s="313"/>
      <c r="Q1358" s="1"/>
      <c r="U1358" s="162"/>
      <c r="Z1358" s="12"/>
      <c r="AA1358" s="315"/>
      <c r="AB1358" s="89"/>
    </row>
    <row r="1359" spans="3:31" x14ac:dyDescent="0.35">
      <c r="C1359" s="351" t="s">
        <v>3063</v>
      </c>
      <c r="D1359" s="295" t="s">
        <v>4306</v>
      </c>
      <c r="F1359" s="315">
        <v>0.05</v>
      </c>
      <c r="G1359" s="316" t="s">
        <v>4615</v>
      </c>
      <c r="I1359" s="73">
        <v>3.3</v>
      </c>
      <c r="J1359" s="162">
        <v>1200</v>
      </c>
      <c r="K1359" s="162" t="s">
        <v>4309</v>
      </c>
      <c r="L1359" s="313" t="s">
        <v>3236</v>
      </c>
      <c r="M1359" s="73">
        <v>100</v>
      </c>
      <c r="N1359" s="316" t="s">
        <v>4308</v>
      </c>
      <c r="O1359" s="313"/>
      <c r="P1359" s="314" t="s">
        <v>7939</v>
      </c>
      <c r="Q1359" s="1" t="s">
        <v>4307</v>
      </c>
      <c r="S1359" t="s">
        <v>0</v>
      </c>
      <c r="U1359" s="155"/>
      <c r="V1359" s="155"/>
      <c r="W1359" s="548" t="s">
        <v>5624</v>
      </c>
      <c r="Y1359" s="548" t="s">
        <v>5579</v>
      </c>
      <c r="Z1359" s="549"/>
      <c r="AA1359" s="550"/>
      <c r="AB1359" s="128"/>
      <c r="AE1359" s="548" t="s">
        <v>5580</v>
      </c>
    </row>
    <row r="1360" spans="3:31" x14ac:dyDescent="0.35">
      <c r="D1360" s="295" t="s">
        <v>4595</v>
      </c>
      <c r="F1360" s="315">
        <v>0.06</v>
      </c>
      <c r="G1360" s="316" t="s">
        <v>4615</v>
      </c>
      <c r="I1360" s="73">
        <v>2.2000000000000002</v>
      </c>
      <c r="J1360" s="162">
        <v>1300</v>
      </c>
      <c r="K1360" s="162" t="s">
        <v>4309</v>
      </c>
      <c r="L1360" s="313" t="s">
        <v>3236</v>
      </c>
      <c r="M1360" s="73">
        <v>80</v>
      </c>
      <c r="N1360" s="316" t="s">
        <v>3919</v>
      </c>
      <c r="O1360" s="313"/>
      <c r="P1360" s="314" t="s">
        <v>7940</v>
      </c>
      <c r="Q1360" s="1" t="s">
        <v>4594</v>
      </c>
      <c r="S1360" t="s">
        <v>0</v>
      </c>
      <c r="U1360" s="155" t="s">
        <v>4125</v>
      </c>
      <c r="V1360" s="155"/>
      <c r="W1360">
        <v>8.0000000000000002E-3</v>
      </c>
      <c r="X1360" s="314" t="s">
        <v>5625</v>
      </c>
      <c r="Y1360" s="314" t="s">
        <v>5628</v>
      </c>
      <c r="AE1360" s="314" t="s">
        <v>5631</v>
      </c>
    </row>
    <row r="1361" spans="2:34" x14ac:dyDescent="0.35">
      <c r="D1361" s="295"/>
      <c r="F1361" s="315"/>
      <c r="G1361" s="316"/>
      <c r="I1361" s="73"/>
      <c r="J1361" s="162"/>
      <c r="K1361" s="162"/>
      <c r="L1361" s="313"/>
      <c r="M1361" s="73"/>
      <c r="N1361" s="316"/>
      <c r="O1361" s="313"/>
      <c r="Q1361" s="1"/>
      <c r="U1361" t="s">
        <v>4220</v>
      </c>
      <c r="V1361" s="155"/>
      <c r="W1361" s="10">
        <v>4</v>
      </c>
      <c r="X1361" s="314" t="s">
        <v>5626</v>
      </c>
      <c r="Y1361" s="314" t="s">
        <v>5629</v>
      </c>
      <c r="AE1361" s="314" t="s">
        <v>5632</v>
      </c>
    </row>
    <row r="1362" spans="2:34" x14ac:dyDescent="0.35">
      <c r="D1362" s="401" t="s">
        <v>7834</v>
      </c>
      <c r="F1362" s="315"/>
      <c r="G1362" s="316"/>
      <c r="I1362" s="73"/>
      <c r="J1362" s="162"/>
      <c r="K1362" s="162"/>
      <c r="L1362" s="313"/>
      <c r="M1362" s="73"/>
      <c r="N1362" s="316"/>
      <c r="O1362" s="313"/>
      <c r="Q1362" s="1"/>
      <c r="U1362" t="s">
        <v>4215</v>
      </c>
      <c r="V1362" s="155"/>
      <c r="W1362" s="10">
        <v>8</v>
      </c>
      <c r="X1362" s="314" t="s">
        <v>5625</v>
      </c>
      <c r="Y1362" s="314" t="s">
        <v>5630</v>
      </c>
      <c r="AE1362" s="314" t="s">
        <v>5633</v>
      </c>
    </row>
    <row r="1363" spans="2:34" x14ac:dyDescent="0.35">
      <c r="D1363" s="295" t="s">
        <v>4311</v>
      </c>
      <c r="F1363" s="434" t="s">
        <v>4312</v>
      </c>
      <c r="G1363" s="316" t="s">
        <v>4313</v>
      </c>
      <c r="I1363" s="73">
        <v>220</v>
      </c>
      <c r="J1363" s="162">
        <v>1000</v>
      </c>
      <c r="K1363" s="162">
        <v>1200</v>
      </c>
      <c r="L1363" s="313" t="s">
        <v>3236</v>
      </c>
      <c r="M1363" s="73">
        <v>460</v>
      </c>
      <c r="N1363" s="316" t="s">
        <v>4314</v>
      </c>
      <c r="O1363" s="313"/>
      <c r="P1363" s="295" t="s">
        <v>7787</v>
      </c>
      <c r="Q1363" s="1" t="s">
        <v>4315</v>
      </c>
      <c r="S1363" t="s">
        <v>0</v>
      </c>
      <c r="U1363" s="162"/>
      <c r="Z1363" s="12"/>
      <c r="AA1363" s="315"/>
      <c r="AB1363" s="89"/>
    </row>
    <row r="1364" spans="2:34" x14ac:dyDescent="0.35">
      <c r="C1364" s="351" t="s">
        <v>3063</v>
      </c>
      <c r="D1364" s="295" t="s">
        <v>7809</v>
      </c>
      <c r="F1364" s="434" t="s">
        <v>7810</v>
      </c>
      <c r="G1364" s="316" t="s">
        <v>7811</v>
      </c>
      <c r="I1364" s="162">
        <v>470</v>
      </c>
      <c r="J1364" s="162">
        <v>830</v>
      </c>
      <c r="K1364" s="73">
        <v>580</v>
      </c>
      <c r="L1364" s="313" t="s">
        <v>3236</v>
      </c>
      <c r="M1364" s="73">
        <v>770</v>
      </c>
      <c r="N1364" s="73" t="s">
        <v>3198</v>
      </c>
      <c r="O1364" s="313"/>
      <c r="P1364" s="295" t="s">
        <v>7812</v>
      </c>
      <c r="Q1364" s="1" t="s">
        <v>7808</v>
      </c>
      <c r="S1364" t="s">
        <v>0</v>
      </c>
      <c r="U1364" s="162"/>
      <c r="Z1364" s="12"/>
      <c r="AA1364" s="315"/>
      <c r="AB1364" s="89"/>
    </row>
    <row r="1366" spans="2:34" x14ac:dyDescent="0.35">
      <c r="C1366" s="351"/>
      <c r="D1366" s="295"/>
      <c r="F1366" s="8"/>
      <c r="G1366" s="316"/>
      <c r="I1366" s="162"/>
      <c r="J1366" s="162"/>
      <c r="K1366" s="73"/>
      <c r="L1366" s="313"/>
      <c r="M1366" s="73"/>
      <c r="N1366" s="73"/>
      <c r="O1366" s="313"/>
      <c r="Q1366" s="1"/>
      <c r="U1366" s="162"/>
      <c r="Z1366" s="12"/>
      <c r="AA1366" s="315"/>
      <c r="AB1366" s="89"/>
    </row>
    <row r="1367" spans="2:34" x14ac:dyDescent="0.35">
      <c r="B1367" s="83" t="s">
        <v>3445</v>
      </c>
      <c r="D1367" s="295"/>
      <c r="F1367" s="8"/>
      <c r="G1367" s="316"/>
      <c r="I1367" s="162"/>
      <c r="J1367" s="162"/>
      <c r="K1367" s="73"/>
      <c r="L1367" s="313"/>
      <c r="M1367" s="73"/>
      <c r="N1367" s="73"/>
      <c r="O1367" s="313"/>
      <c r="Q1367" s="1"/>
      <c r="U1367" s="162"/>
      <c r="Z1367" s="12"/>
      <c r="AA1367" s="315"/>
      <c r="AB1367" s="89"/>
    </row>
    <row r="1368" spans="2:34" x14ac:dyDescent="0.35">
      <c r="D1368" s="123" t="s">
        <v>2956</v>
      </c>
      <c r="F1368" s="123" t="s">
        <v>620</v>
      </c>
      <c r="G1368" s="316"/>
      <c r="I1368" s="162"/>
      <c r="J1368" s="162"/>
      <c r="K1368" s="73"/>
      <c r="L1368" s="313"/>
      <c r="M1368" s="73"/>
      <c r="N1368" s="73"/>
      <c r="O1368" s="313"/>
      <c r="Q1368" s="123" t="s">
        <v>2961</v>
      </c>
      <c r="R1368" s="4"/>
      <c r="U1368" s="162"/>
      <c r="Z1368" s="12"/>
      <c r="AA1368" s="315"/>
      <c r="AB1368" s="89"/>
    </row>
    <row r="1369" spans="2:34" x14ac:dyDescent="0.35">
      <c r="D1369" s="386" t="s">
        <v>3447</v>
      </c>
      <c r="E1369" s="177"/>
      <c r="F1369" s="387">
        <v>0.15</v>
      </c>
      <c r="G1369" s="316"/>
      <c r="H1369" t="s">
        <v>4983</v>
      </c>
      <c r="I1369" s="162"/>
      <c r="J1369" s="162"/>
      <c r="K1369" s="73"/>
      <c r="L1369" s="313"/>
      <c r="M1369" s="73"/>
      <c r="N1369" s="73"/>
      <c r="O1369" s="313"/>
      <c r="Q1369" s="1" t="s">
        <v>3446</v>
      </c>
      <c r="S1369" t="s">
        <v>0</v>
      </c>
      <c r="T1369" t="s">
        <v>4757</v>
      </c>
      <c r="U1369" s="1" t="s">
        <v>4982</v>
      </c>
      <c r="V1369" t="s">
        <v>0</v>
      </c>
      <c r="Z1369" s="12"/>
      <c r="AA1369" s="315"/>
      <c r="AB1369" s="89"/>
    </row>
    <row r="1370" spans="2:34" x14ac:dyDescent="0.35">
      <c r="C1370" s="351" t="s">
        <v>3063</v>
      </c>
      <c r="D1370" s="386" t="s">
        <v>3449</v>
      </c>
      <c r="F1370" s="387">
        <v>0.18</v>
      </c>
      <c r="G1370" s="316"/>
      <c r="H1370" t="s">
        <v>8151</v>
      </c>
      <c r="I1370" s="162"/>
      <c r="J1370" s="162"/>
      <c r="K1370" s="73"/>
      <c r="L1370" s="313"/>
      <c r="M1370" s="73"/>
      <c r="N1370" s="73"/>
      <c r="O1370" s="313"/>
      <c r="Q1370" s="1" t="s">
        <v>3448</v>
      </c>
      <c r="S1370" t="s">
        <v>0</v>
      </c>
      <c r="Z1370" s="12"/>
      <c r="AA1370" s="315"/>
      <c r="AB1370" s="89"/>
    </row>
    <row r="1371" spans="2:34" x14ac:dyDescent="0.35">
      <c r="D1371" s="386"/>
      <c r="F1371" s="387"/>
      <c r="G1371" s="316"/>
      <c r="I1371" s="162"/>
      <c r="J1371" s="162"/>
      <c r="K1371" s="73"/>
      <c r="L1371" s="313"/>
      <c r="M1371" s="73"/>
      <c r="N1371" s="73"/>
      <c r="O1371" s="316"/>
      <c r="P1371" s="316"/>
      <c r="Q1371" s="1"/>
      <c r="U1371" s="162"/>
      <c r="Z1371" s="12"/>
      <c r="AA1371" s="315"/>
      <c r="AB1371" s="89"/>
    </row>
    <row r="1372" spans="2:34" ht="24.5" customHeight="1" x14ac:dyDescent="0.35">
      <c r="B1372" s="83" t="s">
        <v>3307</v>
      </c>
      <c r="D1372" s="123" t="s">
        <v>2956</v>
      </c>
      <c r="E1372" s="295"/>
      <c r="F1372" s="123" t="s">
        <v>620</v>
      </c>
      <c r="G1372" s="123" t="s">
        <v>2978</v>
      </c>
      <c r="I1372" s="123" t="s">
        <v>3106</v>
      </c>
      <c r="J1372" s="123" t="s">
        <v>5972</v>
      </c>
      <c r="K1372" s="123" t="s">
        <v>3109</v>
      </c>
      <c r="L1372" s="123" t="s">
        <v>5573</v>
      </c>
      <c r="M1372" s="123" t="s">
        <v>4106</v>
      </c>
      <c r="N1372" s="123" t="s">
        <v>4115</v>
      </c>
      <c r="O1372" s="123" t="s">
        <v>5579</v>
      </c>
      <c r="P1372" s="123" t="s">
        <v>5580</v>
      </c>
      <c r="Q1372" s="123" t="s">
        <v>4133</v>
      </c>
      <c r="R1372" s="123" t="s">
        <v>5992</v>
      </c>
      <c r="S1372" s="123" t="s">
        <v>2961</v>
      </c>
      <c r="T1372" s="4"/>
      <c r="U1372" s="123" t="s">
        <v>4228</v>
      </c>
      <c r="W1372" s="123" t="s">
        <v>2310</v>
      </c>
      <c r="X1372" s="123" t="s">
        <v>3308</v>
      </c>
      <c r="Y1372" s="123" t="s">
        <v>3309</v>
      </c>
      <c r="Z1372" s="333" t="s">
        <v>3232</v>
      </c>
      <c r="AA1372" s="123" t="s">
        <v>3310</v>
      </c>
      <c r="AB1372" s="123" t="s">
        <v>3311</v>
      </c>
      <c r="AC1372" s="123" t="s">
        <v>3312</v>
      </c>
      <c r="AD1372" s="333" t="s">
        <v>3313</v>
      </c>
    </row>
    <row r="1373" spans="2:34" x14ac:dyDescent="0.35">
      <c r="D1373" s="401" t="s">
        <v>3114</v>
      </c>
      <c r="E1373" s="295"/>
      <c r="F1373" s="297"/>
      <c r="G1373" s="297"/>
      <c r="I1373" s="297"/>
      <c r="J1373" s="297"/>
      <c r="K1373" s="297"/>
      <c r="O1373" s="295"/>
      <c r="P1373" s="295"/>
      <c r="S1373" s="297"/>
      <c r="T1373" s="7"/>
      <c r="U1373" s="1"/>
      <c r="W1373" s="297"/>
      <c r="X1373" s="297"/>
      <c r="Y1373" s="297"/>
      <c r="Z1373" s="350"/>
      <c r="AA1373" s="297"/>
      <c r="AB1373" s="297"/>
      <c r="AC1373" s="350"/>
      <c r="AD1373" s="350"/>
    </row>
    <row r="1374" spans="2:34" x14ac:dyDescent="0.35">
      <c r="D1374" t="s">
        <v>3110</v>
      </c>
      <c r="E1374" s="295"/>
      <c r="F1374" s="8">
        <v>0.39</v>
      </c>
      <c r="G1374" s="73" t="s">
        <v>3115</v>
      </c>
      <c r="I1374" s="73">
        <v>100</v>
      </c>
      <c r="J1374" s="73">
        <v>92</v>
      </c>
      <c r="K1374" s="73" t="s">
        <v>5229</v>
      </c>
      <c r="L1374" s="295"/>
      <c r="M1374" s="295"/>
      <c r="O1374" s="316"/>
      <c r="P1374" s="316"/>
      <c r="Q1374" s="73" t="s">
        <v>7051</v>
      </c>
      <c r="S1374" s="1" t="s">
        <v>3111</v>
      </c>
      <c r="U1374" t="s">
        <v>0</v>
      </c>
      <c r="W1374">
        <v>2</v>
      </c>
      <c r="X1374" s="162">
        <f>J1374*2</f>
        <v>184</v>
      </c>
      <c r="Z1374" t="e">
        <f>K1374/W1374</f>
        <v>#VALUE!</v>
      </c>
      <c r="AA1374">
        <v>8</v>
      </c>
      <c r="AB1374" s="335">
        <f>AA1374/W1374</f>
        <v>4</v>
      </c>
      <c r="AC1374" s="10" t="e">
        <f>AB1374^2*K1374*0.001</f>
        <v>#VALUE!</v>
      </c>
      <c r="AD1374" s="315">
        <f>W1374*F1374</f>
        <v>0.78</v>
      </c>
      <c r="AE1374" s="89" t="s">
        <v>3231</v>
      </c>
      <c r="AH1374" s="334" t="s">
        <v>3113</v>
      </c>
    </row>
    <row r="1375" spans="2:34" x14ac:dyDescent="0.35">
      <c r="D1375" t="s">
        <v>3107</v>
      </c>
      <c r="E1375" s="295"/>
      <c r="F1375" s="8">
        <v>0.63</v>
      </c>
      <c r="G1375" s="73" t="s">
        <v>3115</v>
      </c>
      <c r="I1375" s="73">
        <v>100</v>
      </c>
      <c r="J1375" s="73">
        <v>92</v>
      </c>
      <c r="K1375" s="73" t="s">
        <v>5230</v>
      </c>
      <c r="L1375" s="316" t="s">
        <v>3619</v>
      </c>
      <c r="M1375" s="295" t="s">
        <v>3621</v>
      </c>
      <c r="O1375" s="316"/>
      <c r="P1375" s="316"/>
      <c r="Q1375" s="73" t="s">
        <v>7051</v>
      </c>
      <c r="S1375" s="1" t="s">
        <v>3108</v>
      </c>
      <c r="U1375" t="s">
        <v>0</v>
      </c>
      <c r="W1375">
        <v>2</v>
      </c>
      <c r="X1375" s="162">
        <f>J1375*2</f>
        <v>184</v>
      </c>
      <c r="Z1375" t="e">
        <f>K1375/W1375</f>
        <v>#VALUE!</v>
      </c>
      <c r="AA1375">
        <v>8</v>
      </c>
      <c r="AB1375" s="335">
        <f>AA1375/W1375</f>
        <v>4</v>
      </c>
      <c r="AC1375" s="10" t="e">
        <f>AB1375^2*K1375*0.001</f>
        <v>#VALUE!</v>
      </c>
      <c r="AD1375" s="315">
        <f>W1375*F1375</f>
        <v>1.26</v>
      </c>
      <c r="AE1375" s="89" t="s">
        <v>3231</v>
      </c>
    </row>
    <row r="1376" spans="2:34" x14ac:dyDescent="0.35">
      <c r="C1376" s="351" t="s">
        <v>3063</v>
      </c>
      <c r="D1376" t="s">
        <v>3897</v>
      </c>
      <c r="E1376" s="295"/>
      <c r="F1376" s="8">
        <v>0.61</v>
      </c>
      <c r="G1376" s="316" t="s">
        <v>9031</v>
      </c>
      <c r="I1376" s="73">
        <v>100</v>
      </c>
      <c r="J1376" s="73">
        <v>90</v>
      </c>
      <c r="K1376" s="73" t="s">
        <v>5231</v>
      </c>
      <c r="L1376" s="316" t="s">
        <v>3898</v>
      </c>
      <c r="M1376" s="295" t="s">
        <v>3621</v>
      </c>
      <c r="N1376" s="295" t="s">
        <v>4114</v>
      </c>
      <c r="O1376" s="316" t="s">
        <v>7048</v>
      </c>
      <c r="P1376" s="316" t="str">
        <f>"0.1mx @25C"</f>
        <v>0.1mx @25C</v>
      </c>
      <c r="Q1376" s="73" t="s">
        <v>7051</v>
      </c>
      <c r="S1376" s="1" t="s">
        <v>3896</v>
      </c>
      <c r="U1376" s="177" t="s">
        <v>8098</v>
      </c>
      <c r="V1376" s="1" t="s">
        <v>4064</v>
      </c>
      <c r="W1376" s="162"/>
      <c r="X1376" t="s">
        <v>0</v>
      </c>
      <c r="AB1376" s="335"/>
      <c r="AC1376" s="10"/>
      <c r="AD1376" s="315"/>
      <c r="AE1376" s="89"/>
    </row>
    <row r="1377" spans="1:31" x14ac:dyDescent="0.35">
      <c r="D1377" t="s">
        <v>3905</v>
      </c>
      <c r="E1377" s="295"/>
      <c r="F1377" s="8">
        <v>1.17</v>
      </c>
      <c r="G1377" s="316" t="s">
        <v>3906</v>
      </c>
      <c r="I1377" s="73">
        <v>80</v>
      </c>
      <c r="J1377" s="73">
        <v>100</v>
      </c>
      <c r="K1377" s="73" t="s">
        <v>5232</v>
      </c>
      <c r="L1377" s="316" t="s">
        <v>3907</v>
      </c>
      <c r="M1377" s="295" t="s">
        <v>3908</v>
      </c>
      <c r="O1377" s="316"/>
      <c r="P1377" s="316"/>
      <c r="Q1377" s="73" t="s">
        <v>7051</v>
      </c>
      <c r="S1377" s="1"/>
      <c r="X1377" s="162"/>
      <c r="AB1377" s="335"/>
      <c r="AC1377" s="10"/>
      <c r="AD1377" s="315"/>
      <c r="AE1377" s="89"/>
    </row>
    <row r="1378" spans="1:31" x14ac:dyDescent="0.35">
      <c r="D1378" t="s">
        <v>4104</v>
      </c>
      <c r="E1378" s="295"/>
      <c r="F1378" s="8">
        <v>0.8</v>
      </c>
      <c r="G1378" s="316" t="s">
        <v>4008</v>
      </c>
      <c r="I1378" s="73">
        <v>80</v>
      </c>
      <c r="J1378" s="73">
        <v>100</v>
      </c>
      <c r="K1378" s="73" t="s">
        <v>5233</v>
      </c>
      <c r="L1378" s="316" t="s">
        <v>4105</v>
      </c>
      <c r="M1378" s="295" t="s">
        <v>4107</v>
      </c>
      <c r="N1378" s="295" t="s">
        <v>4108</v>
      </c>
      <c r="O1378" s="316"/>
      <c r="P1378" s="316"/>
      <c r="Q1378" s="73" t="s">
        <v>7051</v>
      </c>
      <c r="S1378" s="1"/>
      <c r="X1378" s="162"/>
      <c r="Y1378" t="s">
        <v>0</v>
      </c>
      <c r="Z1378" t="s">
        <v>4031</v>
      </c>
      <c r="AB1378" s="335"/>
      <c r="AC1378" s="10"/>
      <c r="AD1378" s="315"/>
      <c r="AE1378" s="89"/>
    </row>
    <row r="1379" spans="1:31" x14ac:dyDescent="0.35">
      <c r="D1379" t="s">
        <v>5994</v>
      </c>
      <c r="E1379" s="295"/>
      <c r="F1379" s="8">
        <v>0.8</v>
      </c>
      <c r="G1379" s="316" t="s">
        <v>4008</v>
      </c>
      <c r="I1379" s="73">
        <v>100</v>
      </c>
      <c r="J1379" s="73">
        <v>100</v>
      </c>
      <c r="K1379" s="73" t="s">
        <v>5995</v>
      </c>
      <c r="L1379" s="316" t="s">
        <v>5998</v>
      </c>
      <c r="M1379" s="295" t="s">
        <v>5996</v>
      </c>
      <c r="N1379" s="295"/>
      <c r="O1379" s="314" t="s">
        <v>7047</v>
      </c>
      <c r="P1379" s="314" t="s">
        <v>5631</v>
      </c>
      <c r="Q1379" s="73" t="s">
        <v>7051</v>
      </c>
      <c r="R1379" s="316" t="s">
        <v>5999</v>
      </c>
      <c r="S1379" s="1" t="s">
        <v>5997</v>
      </c>
      <c r="U1379" t="s">
        <v>0</v>
      </c>
      <c r="X1379" s="162"/>
      <c r="AB1379" s="335"/>
      <c r="AC1379" s="10"/>
      <c r="AD1379" s="315"/>
      <c r="AE1379" s="89"/>
    </row>
    <row r="1380" spans="1:31" x14ac:dyDescent="0.35">
      <c r="D1380" t="s">
        <v>6000</v>
      </c>
      <c r="F1380" s="8">
        <v>0.65</v>
      </c>
      <c r="G1380" s="316" t="s">
        <v>4008</v>
      </c>
      <c r="I1380" s="73">
        <v>100</v>
      </c>
      <c r="J1380" s="73">
        <v>100</v>
      </c>
      <c r="K1380" s="73" t="s">
        <v>6001</v>
      </c>
      <c r="L1380" s="316" t="s">
        <v>6004</v>
      </c>
      <c r="M1380" s="295" t="s">
        <v>6002</v>
      </c>
      <c r="O1380" s="314" t="s">
        <v>7047</v>
      </c>
      <c r="P1380" s="314" t="s">
        <v>5631</v>
      </c>
      <c r="Q1380" s="73" t="s">
        <v>7051</v>
      </c>
      <c r="R1380" s="316" t="s">
        <v>6005</v>
      </c>
      <c r="S1380" s="1" t="s">
        <v>6003</v>
      </c>
      <c r="U1380" t="s">
        <v>0</v>
      </c>
    </row>
    <row r="1381" spans="1:31" x14ac:dyDescent="0.35">
      <c r="F1381" s="8"/>
      <c r="O1381" s="316"/>
      <c r="P1381" s="316"/>
    </row>
    <row r="1382" spans="1:31" x14ac:dyDescent="0.35">
      <c r="D1382" s="401" t="s">
        <v>4136</v>
      </c>
      <c r="E1382" s="295"/>
      <c r="F1382" s="8"/>
      <c r="G1382" s="316"/>
      <c r="I1382" s="73"/>
      <c r="J1382" s="73"/>
      <c r="K1382" s="73"/>
      <c r="L1382" s="316"/>
      <c r="M1382" s="295"/>
      <c r="N1382" s="295"/>
      <c r="O1382" s="316"/>
      <c r="P1382" s="316"/>
      <c r="S1382" s="1"/>
      <c r="X1382" s="162"/>
      <c r="AB1382" s="335"/>
      <c r="AC1382" s="10"/>
      <c r="AD1382" s="315"/>
      <c r="AE1382" s="89"/>
    </row>
    <row r="1383" spans="1:31" x14ac:dyDescent="0.35">
      <c r="D1383" t="s">
        <v>4109</v>
      </c>
      <c r="E1383" s="295"/>
      <c r="F1383" s="8">
        <v>0.5</v>
      </c>
      <c r="G1383" s="316" t="s">
        <v>4008</v>
      </c>
      <c r="I1383" s="73">
        <v>80</v>
      </c>
      <c r="J1383" s="73">
        <v>49</v>
      </c>
      <c r="K1383" s="73" t="s">
        <v>5237</v>
      </c>
      <c r="L1383" s="316" t="s">
        <v>4111</v>
      </c>
      <c r="M1383" s="295" t="s">
        <v>4112</v>
      </c>
      <c r="N1383" s="295" t="s">
        <v>4113</v>
      </c>
      <c r="O1383" s="316"/>
      <c r="P1383" s="316"/>
      <c r="Q1383" s="73" t="s">
        <v>7051</v>
      </c>
      <c r="S1383" s="1" t="s">
        <v>4110</v>
      </c>
      <c r="U1383" t="s">
        <v>0</v>
      </c>
      <c r="X1383" s="162"/>
      <c r="AB1383" s="335"/>
      <c r="AC1383" s="10"/>
      <c r="AD1383" s="315"/>
      <c r="AE1383" s="89"/>
    </row>
    <row r="1384" spans="1:31" x14ac:dyDescent="0.35">
      <c r="C1384" s="559" t="s">
        <v>3063</v>
      </c>
      <c r="D1384" t="s">
        <v>4125</v>
      </c>
      <c r="E1384" s="295"/>
      <c r="F1384" s="8">
        <v>0.37</v>
      </c>
      <c r="G1384" s="316" t="s">
        <v>4008</v>
      </c>
      <c r="I1384" s="73">
        <v>100</v>
      </c>
      <c r="J1384" s="73">
        <v>80</v>
      </c>
      <c r="K1384" s="73" t="s">
        <v>5238</v>
      </c>
      <c r="L1384" s="316" t="s">
        <v>4009</v>
      </c>
      <c r="M1384" s="295" t="s">
        <v>4135</v>
      </c>
      <c r="N1384" s="295" t="s">
        <v>4126</v>
      </c>
      <c r="O1384" s="314" t="s">
        <v>7047</v>
      </c>
      <c r="P1384" s="314" t="s">
        <v>5631</v>
      </c>
      <c r="Q1384" s="73" t="s">
        <v>7051</v>
      </c>
      <c r="R1384" s="316" t="s">
        <v>5993</v>
      </c>
      <c r="S1384" s="1" t="s">
        <v>4124</v>
      </c>
      <c r="U1384" s="177" t="s">
        <v>8260</v>
      </c>
      <c r="X1384" s="162"/>
      <c r="AB1384" s="335"/>
      <c r="AC1384" s="10"/>
      <c r="AD1384" s="315"/>
      <c r="AE1384" s="89"/>
    </row>
    <row r="1385" spans="1:31" x14ac:dyDescent="0.35">
      <c r="D1385" t="s">
        <v>4128</v>
      </c>
      <c r="E1385" s="295"/>
      <c r="F1385" s="8">
        <v>0.88</v>
      </c>
      <c r="G1385" s="316" t="s">
        <v>4129</v>
      </c>
      <c r="I1385" s="73">
        <v>100</v>
      </c>
      <c r="J1385" s="73">
        <v>16</v>
      </c>
      <c r="K1385" s="73" t="s">
        <v>5239</v>
      </c>
      <c r="L1385" s="316" t="s">
        <v>4132</v>
      </c>
      <c r="M1385" s="295" t="s">
        <v>4130</v>
      </c>
      <c r="N1385" s="295" t="s">
        <v>4131</v>
      </c>
      <c r="O1385" s="316"/>
      <c r="P1385" s="316"/>
      <c r="Q1385" s="416" t="s">
        <v>4134</v>
      </c>
      <c r="S1385" s="1" t="s">
        <v>4127</v>
      </c>
      <c r="U1385" t="s">
        <v>0</v>
      </c>
      <c r="X1385" s="162"/>
      <c r="AB1385" s="335"/>
      <c r="AC1385" s="10"/>
      <c r="AD1385" s="315"/>
      <c r="AE1385" s="89"/>
    </row>
    <row r="1386" spans="1:31" x14ac:dyDescent="0.35">
      <c r="E1386" s="295"/>
      <c r="F1386" s="8"/>
      <c r="G1386" s="316"/>
      <c r="I1386" s="73"/>
      <c r="J1386" s="73"/>
      <c r="K1386" s="73"/>
      <c r="L1386" s="316"/>
      <c r="M1386" s="295"/>
      <c r="N1386" s="295"/>
      <c r="O1386" s="316"/>
      <c r="P1386" s="316"/>
      <c r="Q1386" s="416"/>
      <c r="S1386" s="1"/>
      <c r="X1386" s="162"/>
      <c r="AB1386" s="335"/>
      <c r="AC1386" s="10"/>
      <c r="AD1386" s="315"/>
      <c r="AE1386" s="89"/>
    </row>
    <row r="1387" spans="1:31" x14ac:dyDescent="0.35">
      <c r="D1387" s="401" t="s">
        <v>4213</v>
      </c>
      <c r="E1387" s="295"/>
      <c r="F1387" s="8"/>
      <c r="G1387" s="316"/>
      <c r="I1387" s="73"/>
      <c r="J1387" s="128" t="s">
        <v>6311</v>
      </c>
      <c r="K1387" s="73"/>
      <c r="L1387" s="316"/>
      <c r="M1387" s="295"/>
      <c r="N1387" s="295"/>
      <c r="O1387" s="316"/>
      <c r="P1387" s="316"/>
      <c r="Q1387" s="416"/>
      <c r="S1387" s="1"/>
      <c r="X1387" s="162"/>
      <c r="AB1387" s="335"/>
      <c r="AC1387" s="10"/>
      <c r="AD1387" s="315"/>
      <c r="AE1387" s="89"/>
    </row>
    <row r="1388" spans="1:31" x14ac:dyDescent="0.35">
      <c r="C1388" s="351" t="s">
        <v>3063</v>
      </c>
      <c r="D1388" t="s">
        <v>4215</v>
      </c>
      <c r="E1388" s="295"/>
      <c r="F1388" s="8">
        <v>0.04</v>
      </c>
      <c r="G1388" s="316" t="s">
        <v>4221</v>
      </c>
      <c r="I1388" s="73">
        <v>100</v>
      </c>
      <c r="J1388" s="73">
        <v>0.17</v>
      </c>
      <c r="K1388" s="73" t="s">
        <v>5228</v>
      </c>
      <c r="L1388" s="316" t="s">
        <v>4217</v>
      </c>
      <c r="M1388" s="295" t="s">
        <v>4218</v>
      </c>
      <c r="N1388" s="295" t="s">
        <v>4224</v>
      </c>
      <c r="O1388" s="314" t="s">
        <v>7049</v>
      </c>
      <c r="P1388" s="314" t="s">
        <v>5644</v>
      </c>
      <c r="Q1388" s="416"/>
      <c r="S1388" s="1" t="s">
        <v>4214</v>
      </c>
      <c r="U1388" s="177" t="s">
        <v>8261</v>
      </c>
      <c r="X1388" s="162"/>
      <c r="AB1388" s="335" t="s">
        <v>8099</v>
      </c>
      <c r="AC1388" s="10"/>
      <c r="AD1388" s="315"/>
      <c r="AE1388" s="89"/>
    </row>
    <row r="1389" spans="1:31" x14ac:dyDescent="0.35">
      <c r="C1389" s="351" t="s">
        <v>3063</v>
      </c>
      <c r="D1389" t="s">
        <v>4220</v>
      </c>
      <c r="E1389" s="295"/>
      <c r="F1389" s="8">
        <v>0.08</v>
      </c>
      <c r="G1389" s="316" t="s">
        <v>5568</v>
      </c>
      <c r="I1389" s="73">
        <v>100</v>
      </c>
      <c r="J1389" s="73">
        <v>0.27</v>
      </c>
      <c r="K1389" s="73" t="s">
        <v>5234</v>
      </c>
      <c r="L1389" s="316" t="s">
        <v>4222</v>
      </c>
      <c r="M1389" s="295" t="s">
        <v>4223</v>
      </c>
      <c r="N1389" s="295" t="s">
        <v>4225</v>
      </c>
      <c r="O1389" s="314" t="s">
        <v>7046</v>
      </c>
      <c r="P1389" s="314" t="s">
        <v>5645</v>
      </c>
      <c r="Q1389" s="416"/>
      <c r="S1389" s="1" t="s">
        <v>4219</v>
      </c>
      <c r="U1389" s="177" t="s">
        <v>8262</v>
      </c>
      <c r="X1389" s="162"/>
      <c r="AB1389" s="335"/>
      <c r="AC1389" s="10"/>
      <c r="AD1389" s="315"/>
      <c r="AE1389" s="89"/>
    </row>
    <row r="1390" spans="1:31" x14ac:dyDescent="0.35">
      <c r="A1390" s="536" t="s">
        <v>5562</v>
      </c>
      <c r="C1390" s="351" t="s">
        <v>3063</v>
      </c>
      <c r="D1390" t="s">
        <v>5571</v>
      </c>
      <c r="E1390" s="295"/>
      <c r="F1390" s="8">
        <v>0.04</v>
      </c>
      <c r="G1390" s="316" t="s">
        <v>5577</v>
      </c>
      <c r="I1390" s="73">
        <v>60</v>
      </c>
      <c r="J1390" s="73">
        <v>0.16</v>
      </c>
      <c r="K1390" s="73" t="s">
        <v>5572</v>
      </c>
      <c r="L1390" s="316" t="s">
        <v>5574</v>
      </c>
      <c r="M1390" s="295" t="s">
        <v>5575</v>
      </c>
      <c r="N1390" s="295" t="s">
        <v>5576</v>
      </c>
      <c r="O1390" s="316" t="s">
        <v>7050</v>
      </c>
      <c r="P1390" s="316" t="str">
        <f>"0.1mx @25°C"</f>
        <v>0.1mx @25°C</v>
      </c>
      <c r="Q1390" s="416"/>
      <c r="S1390" s="1" t="s">
        <v>5570</v>
      </c>
      <c r="U1390" s="177" t="s">
        <v>8263</v>
      </c>
      <c r="X1390" s="162"/>
      <c r="AB1390" s="335"/>
      <c r="AC1390" s="10"/>
      <c r="AD1390" s="315"/>
      <c r="AE1390" s="89"/>
    </row>
    <row r="1391" spans="1:31" x14ac:dyDescent="0.35">
      <c r="A1391" s="83"/>
      <c r="C1391" s="351"/>
      <c r="E1391" s="295"/>
      <c r="F1391" s="8"/>
      <c r="G1391" s="316"/>
      <c r="I1391" s="73"/>
      <c r="J1391" s="73"/>
      <c r="K1391" s="73"/>
      <c r="L1391" s="316"/>
      <c r="M1391" s="295"/>
      <c r="N1391" s="295"/>
      <c r="O1391" s="316"/>
      <c r="P1391" s="316"/>
      <c r="Q1391" s="416"/>
      <c r="S1391" s="1"/>
      <c r="U1391" s="177"/>
      <c r="X1391" s="162"/>
      <c r="AB1391" s="335"/>
      <c r="AC1391" s="10"/>
      <c r="AD1391" s="315"/>
      <c r="AE1391" s="89"/>
    </row>
    <row r="1392" spans="1:31" x14ac:dyDescent="0.35">
      <c r="A1392" s="83"/>
      <c r="C1392" s="351"/>
      <c r="D1392" s="401" t="s">
        <v>5675</v>
      </c>
      <c r="E1392" s="295"/>
      <c r="F1392" s="8"/>
      <c r="G1392" s="316"/>
      <c r="I1392" s="73"/>
      <c r="J1392" s="73"/>
      <c r="K1392" s="73"/>
      <c r="L1392" s="316"/>
      <c r="M1392" s="295"/>
      <c r="N1392" s="295"/>
      <c r="O1392" s="316"/>
      <c r="P1392" s="316"/>
      <c r="Q1392" s="416"/>
      <c r="S1392" s="1"/>
      <c r="U1392" s="177"/>
      <c r="X1392" s="162"/>
      <c r="AB1392" s="335"/>
      <c r="AC1392" s="10"/>
      <c r="AD1392" s="315"/>
      <c r="AE1392" s="89"/>
    </row>
    <row r="1393" spans="1:31" x14ac:dyDescent="0.35">
      <c r="A1393" s="536" t="s">
        <v>5562</v>
      </c>
      <c r="B1393" s="884"/>
      <c r="C1393" s="351" t="s">
        <v>3063</v>
      </c>
      <c r="D1393" s="155" t="s">
        <v>5682</v>
      </c>
      <c r="E1393" s="295"/>
      <c r="F1393" s="186">
        <v>0.06</v>
      </c>
      <c r="G1393" s="316" t="s">
        <v>5697</v>
      </c>
      <c r="I1393">
        <v>60</v>
      </c>
      <c r="J1393" s="13">
        <v>2</v>
      </c>
      <c r="K1393" s="73" t="s">
        <v>5694</v>
      </c>
      <c r="L1393" s="316" t="s">
        <v>5698</v>
      </c>
      <c r="M1393" s="295" t="s">
        <v>5696</v>
      </c>
      <c r="N1393" s="295" t="s">
        <v>5576</v>
      </c>
      <c r="O1393" s="314" t="s">
        <v>7041</v>
      </c>
      <c r="P1393" s="314" t="s">
        <v>5684</v>
      </c>
      <c r="Q1393" s="73" t="s">
        <v>7051</v>
      </c>
      <c r="S1393" s="1" t="s">
        <v>5681</v>
      </c>
      <c r="U1393" s="177" t="s">
        <v>8264</v>
      </c>
      <c r="X1393" s="162"/>
      <c r="AB1393" s="335"/>
      <c r="AC1393" s="10"/>
      <c r="AD1393" s="315"/>
      <c r="AE1393" s="89"/>
    </row>
    <row r="1394" spans="1:31" x14ac:dyDescent="0.35">
      <c r="A1394" s="536" t="s">
        <v>5562</v>
      </c>
      <c r="C1394" s="351" t="s">
        <v>3063</v>
      </c>
      <c r="D1394" s="155" t="s">
        <v>5701</v>
      </c>
      <c r="E1394" s="295"/>
      <c r="F1394" s="186">
        <v>0.06</v>
      </c>
      <c r="G1394" s="316" t="s">
        <v>5699</v>
      </c>
      <c r="I1394">
        <v>30</v>
      </c>
      <c r="J1394">
        <v>3.8</v>
      </c>
      <c r="K1394" s="73" t="s">
        <v>5695</v>
      </c>
      <c r="L1394" s="316" t="s">
        <v>5700</v>
      </c>
      <c r="M1394" s="295" t="s">
        <v>5696</v>
      </c>
      <c r="N1394" s="295" t="s">
        <v>4225</v>
      </c>
      <c r="O1394" s="314" t="s">
        <v>7042</v>
      </c>
      <c r="P1394" s="314" t="s">
        <v>5631</v>
      </c>
      <c r="Q1394" s="73" t="s">
        <v>7051</v>
      </c>
      <c r="S1394" s="1" t="s">
        <v>5691</v>
      </c>
      <c r="U1394" s="177" t="s">
        <v>8265</v>
      </c>
      <c r="X1394" s="162"/>
      <c r="AB1394" s="335"/>
      <c r="AC1394" s="10"/>
      <c r="AD1394" s="315"/>
      <c r="AE1394" s="89"/>
    </row>
    <row r="1395" spans="1:31" x14ac:dyDescent="0.35">
      <c r="A1395" s="83"/>
      <c r="D1395" s="155" t="s">
        <v>5715</v>
      </c>
      <c r="E1395" s="295"/>
      <c r="F1395" s="186">
        <v>7.0000000000000007E-2</v>
      </c>
      <c r="G1395" s="316" t="s">
        <v>5753</v>
      </c>
      <c r="I1395" s="73">
        <v>20</v>
      </c>
      <c r="J1395" s="73">
        <v>3.1</v>
      </c>
      <c r="K1395" s="73" t="s">
        <v>5703</v>
      </c>
      <c r="L1395" s="316" t="s">
        <v>5704</v>
      </c>
      <c r="M1395" s="545" t="s">
        <v>5702</v>
      </c>
      <c r="N1395" s="295" t="s">
        <v>4224</v>
      </c>
      <c r="O1395" s="314" t="s">
        <v>7043</v>
      </c>
      <c r="P1395" s="314" t="s">
        <v>5687</v>
      </c>
      <c r="Q1395" s="73" t="s">
        <v>7053</v>
      </c>
      <c r="S1395" s="1" t="s">
        <v>5705</v>
      </c>
      <c r="U1395" s="177" t="s">
        <v>0</v>
      </c>
      <c r="X1395" s="162"/>
      <c r="AB1395" s="335"/>
      <c r="AC1395" s="10"/>
      <c r="AD1395" s="315"/>
      <c r="AE1395" s="89"/>
    </row>
    <row r="1396" spans="1:31" x14ac:dyDescent="0.35">
      <c r="A1396" s="536" t="s">
        <v>5562</v>
      </c>
      <c r="C1396" s="351" t="s">
        <v>3063</v>
      </c>
      <c r="D1396" s="155" t="s">
        <v>7039</v>
      </c>
      <c r="E1396" s="295"/>
      <c r="F1396" s="186">
        <v>0.05</v>
      </c>
      <c r="G1396" s="316" t="s">
        <v>5756</v>
      </c>
      <c r="I1396" s="73">
        <v>20</v>
      </c>
      <c r="J1396" s="73">
        <v>2.8</v>
      </c>
      <c r="K1396" s="73" t="s">
        <v>5703</v>
      </c>
      <c r="L1396" s="316" t="s">
        <v>5755</v>
      </c>
      <c r="M1396" s="545" t="s">
        <v>5754</v>
      </c>
      <c r="N1396" s="295" t="s">
        <v>4224</v>
      </c>
      <c r="O1396" s="314" t="s">
        <v>7040</v>
      </c>
      <c r="P1396" s="314" t="s">
        <v>5757</v>
      </c>
      <c r="Q1396" s="73" t="s">
        <v>7053</v>
      </c>
      <c r="S1396" s="1" t="s">
        <v>7038</v>
      </c>
      <c r="U1396" s="177" t="s">
        <v>8266</v>
      </c>
      <c r="X1396" s="162"/>
      <c r="AB1396" s="335"/>
      <c r="AC1396" s="10"/>
      <c r="AD1396" s="315"/>
      <c r="AE1396" s="89"/>
    </row>
    <row r="1397" spans="1:31" x14ac:dyDescent="0.35">
      <c r="A1397" s="536"/>
      <c r="C1397" s="351"/>
      <c r="D1397" s="155"/>
      <c r="E1397" s="295"/>
      <c r="F1397" s="186"/>
      <c r="G1397" s="316"/>
      <c r="I1397" s="73"/>
      <c r="J1397" s="73"/>
      <c r="K1397" s="73"/>
      <c r="L1397" s="316"/>
      <c r="M1397" s="545"/>
      <c r="N1397" s="295"/>
      <c r="O1397" s="314"/>
      <c r="P1397" s="314"/>
      <c r="Q1397" s="73"/>
      <c r="S1397" s="1"/>
      <c r="U1397" s="177"/>
      <c r="X1397" s="162"/>
      <c r="AB1397" s="335"/>
      <c r="AC1397" s="10"/>
      <c r="AD1397" s="315"/>
      <c r="AE1397" s="89"/>
    </row>
    <row r="1398" spans="1:31" x14ac:dyDescent="0.35">
      <c r="A1398" s="83"/>
      <c r="C1398" s="351"/>
      <c r="D1398" s="401" t="s">
        <v>5975</v>
      </c>
      <c r="E1398" s="295"/>
      <c r="F1398" s="186"/>
      <c r="G1398" s="316"/>
      <c r="I1398" s="73"/>
      <c r="J1398" s="73"/>
      <c r="K1398" s="73"/>
      <c r="L1398" s="316"/>
      <c r="M1398" s="545"/>
      <c r="N1398" s="295"/>
      <c r="O1398" s="314"/>
      <c r="P1398" s="314"/>
      <c r="Q1398" s="73"/>
      <c r="S1398" s="1"/>
      <c r="U1398" s="177"/>
      <c r="X1398" s="162"/>
      <c r="AB1398" s="335"/>
      <c r="AC1398" s="10"/>
      <c r="AD1398" s="315"/>
      <c r="AE1398" s="89"/>
    </row>
    <row r="1399" spans="1:31" x14ac:dyDescent="0.35">
      <c r="A1399" s="536" t="s">
        <v>5562</v>
      </c>
      <c r="C1399" s="351" t="s">
        <v>3063</v>
      </c>
      <c r="D1399" s="155" t="s">
        <v>5974</v>
      </c>
      <c r="E1399" s="295"/>
      <c r="F1399" s="186">
        <v>0.06</v>
      </c>
      <c r="G1399" s="316" t="s">
        <v>5979</v>
      </c>
      <c r="I1399" s="73">
        <v>30</v>
      </c>
      <c r="J1399" s="73">
        <v>0.4</v>
      </c>
      <c r="K1399" s="73" t="s">
        <v>5976</v>
      </c>
      <c r="L1399" s="316"/>
      <c r="M1399" s="295" t="s">
        <v>5977</v>
      </c>
      <c r="N1399" s="295" t="s">
        <v>4224</v>
      </c>
      <c r="O1399" s="314" t="s">
        <v>7044</v>
      </c>
      <c r="P1399" s="314" t="s">
        <v>5978</v>
      </c>
      <c r="Q1399" s="73" t="s">
        <v>7051</v>
      </c>
      <c r="S1399" s="1" t="s">
        <v>5973</v>
      </c>
      <c r="U1399" s="177" t="s">
        <v>8267</v>
      </c>
      <c r="X1399" s="162"/>
      <c r="AB1399" s="335"/>
      <c r="AC1399" s="10"/>
      <c r="AD1399" s="315"/>
      <c r="AE1399" s="89"/>
    </row>
    <row r="1400" spans="1:31" x14ac:dyDescent="0.35">
      <c r="A1400" s="83"/>
      <c r="D1400" s="155"/>
      <c r="E1400" s="295"/>
      <c r="F1400" s="8"/>
      <c r="G1400" s="316"/>
      <c r="I1400" s="73"/>
      <c r="J1400" s="73"/>
      <c r="K1400" s="73"/>
      <c r="L1400" s="316"/>
      <c r="M1400" s="295"/>
      <c r="N1400" s="295"/>
      <c r="O1400" s="316"/>
      <c r="P1400" s="316"/>
      <c r="S1400" s="1"/>
      <c r="X1400" s="162"/>
      <c r="AB1400" s="335"/>
      <c r="AC1400" s="10"/>
      <c r="AD1400" s="315"/>
      <c r="AE1400" s="89"/>
    </row>
    <row r="1401" spans="1:31" x14ac:dyDescent="0.35">
      <c r="A1401" s="83"/>
      <c r="D1401" s="401" t="s">
        <v>5489</v>
      </c>
      <c r="E1401" s="295"/>
      <c r="F1401" s="8"/>
      <c r="G1401" s="316"/>
      <c r="I1401" s="73"/>
      <c r="J1401" s="73"/>
      <c r="K1401" s="73"/>
      <c r="L1401" s="316"/>
      <c r="M1401" s="295"/>
      <c r="N1401" s="295"/>
      <c r="O1401" s="316"/>
      <c r="P1401" s="316"/>
      <c r="S1401" s="1"/>
      <c r="X1401" s="162"/>
      <c r="AB1401" s="335"/>
      <c r="AC1401" s="10"/>
      <c r="AD1401" s="315"/>
      <c r="AE1401" s="89"/>
    </row>
    <row r="1402" spans="1:31" x14ac:dyDescent="0.35">
      <c r="A1402" s="83"/>
      <c r="C1402" s="653" t="s">
        <v>6317</v>
      </c>
      <c r="D1402" t="s">
        <v>5491</v>
      </c>
      <c r="E1402" s="295"/>
      <c r="F1402" s="8">
        <v>0.08</v>
      </c>
      <c r="G1402" s="316" t="s">
        <v>5495</v>
      </c>
      <c r="I1402" s="73">
        <v>200</v>
      </c>
      <c r="J1402" s="73">
        <v>0.11</v>
      </c>
      <c r="K1402" s="73" t="s">
        <v>5492</v>
      </c>
      <c r="L1402" s="316" t="s">
        <v>5493</v>
      </c>
      <c r="M1402" s="295" t="s">
        <v>5494</v>
      </c>
      <c r="N1402" s="295" t="s">
        <v>4224</v>
      </c>
      <c r="O1402" s="316" t="s">
        <v>7045</v>
      </c>
      <c r="P1402" s="316" t="s">
        <v>5643</v>
      </c>
      <c r="Q1402" s="416"/>
      <c r="S1402" s="1" t="s">
        <v>5490</v>
      </c>
      <c r="U1402" s="177" t="s">
        <v>8268</v>
      </c>
      <c r="X1402" s="162"/>
      <c r="AB1402" s="335"/>
      <c r="AC1402" s="10"/>
      <c r="AD1402" s="315"/>
      <c r="AE1402" s="89"/>
    </row>
    <row r="1403" spans="1:31" x14ac:dyDescent="0.35">
      <c r="A1403" s="536" t="s">
        <v>5562</v>
      </c>
      <c r="C1403" s="351" t="s">
        <v>3063</v>
      </c>
      <c r="D1403" t="s">
        <v>5566</v>
      </c>
      <c r="E1403" s="295"/>
      <c r="F1403" s="8">
        <v>0.15</v>
      </c>
      <c r="G1403" s="316" t="s">
        <v>5569</v>
      </c>
      <c r="I1403" s="73">
        <v>250</v>
      </c>
      <c r="J1403" s="73">
        <v>0.14000000000000001</v>
      </c>
      <c r="K1403" s="73" t="s">
        <v>5492</v>
      </c>
      <c r="L1403" s="316" t="s">
        <v>5564</v>
      </c>
      <c r="M1403" s="295" t="s">
        <v>5565</v>
      </c>
      <c r="N1403" s="295" t="s">
        <v>4224</v>
      </c>
      <c r="O1403" s="316" t="s">
        <v>5646</v>
      </c>
      <c r="P1403" s="316" t="str">
        <f>"0.1mx @25°C"</f>
        <v>0.1mx @25°C</v>
      </c>
      <c r="Q1403" s="473"/>
      <c r="S1403" s="473" t="s">
        <v>5563</v>
      </c>
      <c r="U1403" s="177" t="s">
        <v>8269</v>
      </c>
      <c r="X1403" s="162"/>
      <c r="AB1403" s="335"/>
      <c r="AC1403" s="10"/>
      <c r="AD1403" s="315"/>
      <c r="AE1403" s="89"/>
    </row>
    <row r="1404" spans="1:31" x14ac:dyDescent="0.35">
      <c r="C1404" s="351"/>
      <c r="E1404" s="295"/>
      <c r="F1404" s="8"/>
      <c r="G1404" s="316"/>
      <c r="I1404" s="73"/>
      <c r="J1404" s="73"/>
      <c r="K1404" s="73"/>
      <c r="L1404" s="316"/>
      <c r="M1404" s="295"/>
      <c r="N1404" s="295"/>
      <c r="O1404" s="316"/>
      <c r="P1404" s="316"/>
      <c r="Q1404" s="473"/>
      <c r="S1404" s="473"/>
      <c r="U1404" s="177"/>
      <c r="X1404" s="162"/>
      <c r="AB1404" s="335"/>
      <c r="AC1404" s="10"/>
      <c r="AD1404" s="315"/>
      <c r="AE1404" s="89"/>
    </row>
    <row r="1405" spans="1:31" x14ac:dyDescent="0.35">
      <c r="D1405" s="401" t="s">
        <v>3239</v>
      </c>
      <c r="G1405" s="295"/>
      <c r="H1405" s="8"/>
      <c r="I1405" s="73"/>
      <c r="K1405" s="73"/>
      <c r="L1405" s="313"/>
      <c r="M1405" s="313"/>
      <c r="O1405" s="316"/>
      <c r="P1405" s="316"/>
      <c r="U1405" s="73" t="s">
        <v>0</v>
      </c>
    </row>
    <row r="1406" spans="1:31" x14ac:dyDescent="0.35">
      <c r="D1406" t="s">
        <v>3242</v>
      </c>
      <c r="E1406" s="295"/>
      <c r="F1406" s="8">
        <v>2.41</v>
      </c>
      <c r="G1406" s="316" t="s">
        <v>3241</v>
      </c>
      <c r="I1406" s="73">
        <v>400</v>
      </c>
      <c r="J1406" s="73">
        <v>38</v>
      </c>
      <c r="K1406" s="73" t="s">
        <v>5235</v>
      </c>
      <c r="L1406" s="295"/>
      <c r="M1406" s="295"/>
      <c r="O1406" s="316"/>
      <c r="P1406" s="316"/>
      <c r="Q1406" s="73" t="s">
        <v>7051</v>
      </c>
      <c r="S1406" s="1" t="s">
        <v>3240</v>
      </c>
      <c r="U1406" s="73" t="s">
        <v>0</v>
      </c>
      <c r="W1406">
        <v>3</v>
      </c>
      <c r="X1406" s="162">
        <f>J1406*2</f>
        <v>76</v>
      </c>
      <c r="Z1406" t="e">
        <f>K1406/W1406</f>
        <v>#VALUE!</v>
      </c>
      <c r="AA1406">
        <v>8</v>
      </c>
      <c r="AB1406" s="13">
        <f>AA1406/W1406</f>
        <v>2.6666666666666665</v>
      </c>
      <c r="AC1406" s="10" t="e">
        <f>AB1406^2*K1406*0.001</f>
        <v>#VALUE!</v>
      </c>
      <c r="AD1406" s="315">
        <f>W1406*F1406</f>
        <v>7.23</v>
      </c>
      <c r="AE1406" s="89" t="s">
        <v>3231</v>
      </c>
    </row>
    <row r="1407" spans="1:31" x14ac:dyDescent="0.35">
      <c r="C1407" s="351" t="s">
        <v>3063</v>
      </c>
      <c r="D1407" t="s">
        <v>4531</v>
      </c>
      <c r="E1407" s="295"/>
      <c r="F1407" s="8">
        <v>1.95</v>
      </c>
      <c r="G1407" s="316" t="s">
        <v>3241</v>
      </c>
      <c r="I1407" s="73">
        <v>600</v>
      </c>
      <c r="J1407" s="73">
        <v>30</v>
      </c>
      <c r="K1407" s="73" t="s">
        <v>5236</v>
      </c>
      <c r="L1407" s="295" t="s">
        <v>4532</v>
      </c>
      <c r="M1407" s="295" t="s">
        <v>4533</v>
      </c>
      <c r="N1407" s="295" t="s">
        <v>4534</v>
      </c>
      <c r="O1407" s="316" t="s">
        <v>5578</v>
      </c>
      <c r="P1407" s="316" t="s">
        <v>1703</v>
      </c>
      <c r="Q1407" s="73" t="s">
        <v>7052</v>
      </c>
      <c r="S1407" s="1" t="s">
        <v>4530</v>
      </c>
      <c r="U1407" s="177" t="s">
        <v>8270</v>
      </c>
      <c r="X1407" s="162"/>
      <c r="AB1407" s="13" t="s">
        <v>8271</v>
      </c>
      <c r="AC1407" s="10"/>
      <c r="AD1407" s="315"/>
      <c r="AE1407" s="89"/>
    </row>
    <row r="1408" spans="1:31" x14ac:dyDescent="0.35">
      <c r="C1408" s="351"/>
      <c r="E1408" s="295"/>
      <c r="F1408" s="8"/>
      <c r="G1408" s="316"/>
      <c r="I1408" s="73"/>
      <c r="J1408" s="73"/>
      <c r="K1408" s="73"/>
      <c r="L1408" s="295"/>
      <c r="M1408" s="295"/>
      <c r="N1408" s="295"/>
      <c r="O1408" s="316"/>
      <c r="P1408" s="316"/>
      <c r="Q1408" s="73"/>
      <c r="R1408" s="1"/>
      <c r="T1408" s="73"/>
      <c r="W1408" s="162"/>
      <c r="AA1408" s="13"/>
      <c r="AB1408" s="10"/>
      <c r="AD1408" s="89"/>
    </row>
    <row r="1409" spans="2:31" x14ac:dyDescent="0.35">
      <c r="B1409" s="83" t="s">
        <v>5779</v>
      </c>
      <c r="C1409" s="351"/>
      <c r="E1409" s="295"/>
      <c r="F1409" s="8"/>
      <c r="G1409" s="316"/>
      <c r="I1409" s="73"/>
      <c r="J1409" s="73"/>
      <c r="K1409" s="73"/>
      <c r="L1409" s="295"/>
      <c r="M1409" s="295"/>
      <c r="N1409" s="295"/>
      <c r="O1409" s="316"/>
      <c r="P1409" s="316"/>
      <c r="Q1409" s="73"/>
      <c r="R1409" s="1"/>
      <c r="T1409" s="73"/>
      <c r="W1409" s="162"/>
      <c r="AA1409" s="13"/>
      <c r="AB1409" s="10"/>
      <c r="AD1409" s="89"/>
    </row>
    <row r="1410" spans="2:31" x14ac:dyDescent="0.35">
      <c r="D1410" s="155"/>
      <c r="F1410" s="333" t="s">
        <v>4834</v>
      </c>
      <c r="G1410" s="333" t="s">
        <v>5680</v>
      </c>
      <c r="H1410" s="333" t="s">
        <v>5624</v>
      </c>
      <c r="I1410" s="333" t="s">
        <v>5689</v>
      </c>
      <c r="J1410" s="333" t="s">
        <v>5690</v>
      </c>
      <c r="K1410" s="548" t="s">
        <v>5579</v>
      </c>
      <c r="L1410" s="550"/>
      <c r="M1410" s="128"/>
      <c r="P1410" s="548" t="s">
        <v>5580</v>
      </c>
      <c r="Q1410" s="549"/>
      <c r="R1410" s="4"/>
      <c r="S1410" s="295"/>
      <c r="V1410" s="295"/>
      <c r="W1410" s="1"/>
      <c r="X1410" s="1"/>
    </row>
    <row r="1411" spans="2:31" x14ac:dyDescent="0.35">
      <c r="D1411" s="155" t="s">
        <v>4125</v>
      </c>
      <c r="G1411" s="314" t="s">
        <v>5625</v>
      </c>
      <c r="H1411">
        <v>8.0000000000000002E-3</v>
      </c>
      <c r="I1411">
        <v>80</v>
      </c>
      <c r="J1411">
        <v>20</v>
      </c>
      <c r="K1411" s="314" t="s">
        <v>5628</v>
      </c>
      <c r="P1411" s="314" t="s">
        <v>5631</v>
      </c>
      <c r="S1411" s="295"/>
      <c r="T1411" s="1" t="s">
        <v>4145</v>
      </c>
      <c r="V1411" s="177" t="s">
        <v>0</v>
      </c>
      <c r="W1411" s="1"/>
      <c r="X1411" s="1"/>
    </row>
    <row r="1412" spans="2:31" x14ac:dyDescent="0.35">
      <c r="D1412" t="s">
        <v>4220</v>
      </c>
      <c r="G1412" s="314" t="s">
        <v>5626</v>
      </c>
      <c r="H1412" s="10">
        <v>4</v>
      </c>
      <c r="I1412">
        <v>100</v>
      </c>
      <c r="J1412">
        <v>20</v>
      </c>
      <c r="K1412" s="314" t="s">
        <v>5629</v>
      </c>
      <c r="P1412" s="314" t="s">
        <v>5632</v>
      </c>
      <c r="S1412" s="295"/>
      <c r="T1412" s="1" t="s">
        <v>4219</v>
      </c>
      <c r="V1412" s="177" t="s">
        <v>0</v>
      </c>
      <c r="W1412" s="1"/>
      <c r="X1412" s="1"/>
    </row>
    <row r="1413" spans="2:31" x14ac:dyDescent="0.35">
      <c r="D1413" t="s">
        <v>4215</v>
      </c>
      <c r="G1413" s="314" t="s">
        <v>5625</v>
      </c>
      <c r="H1413" s="10">
        <v>8</v>
      </c>
      <c r="I1413">
        <v>100</v>
      </c>
      <c r="J1413">
        <v>20</v>
      </c>
      <c r="K1413" s="314" t="s">
        <v>5630</v>
      </c>
      <c r="P1413" s="314" t="s">
        <v>5633</v>
      </c>
      <c r="S1413" s="295"/>
      <c r="T1413" s="1" t="s">
        <v>5627</v>
      </c>
      <c r="V1413" s="177" t="s">
        <v>0</v>
      </c>
      <c r="W1413" s="1"/>
      <c r="X1413" s="1"/>
    </row>
    <row r="1414" spans="2:31" x14ac:dyDescent="0.35">
      <c r="G1414" s="314"/>
      <c r="H1414" s="10"/>
      <c r="K1414" s="314"/>
      <c r="P1414" s="314"/>
      <c r="S1414" s="295"/>
      <c r="T1414" s="1"/>
      <c r="V1414" s="177" t="s">
        <v>0</v>
      </c>
      <c r="W1414" s="1"/>
      <c r="X1414" s="1"/>
    </row>
    <row r="1415" spans="2:31" x14ac:dyDescent="0.35">
      <c r="D1415" s="155" t="s">
        <v>5677</v>
      </c>
      <c r="F1415" s="186">
        <v>0.05</v>
      </c>
      <c r="G1415" s="314" t="s">
        <v>5625</v>
      </c>
      <c r="H1415" s="10">
        <v>0.09</v>
      </c>
      <c r="I1415">
        <v>20</v>
      </c>
      <c r="J1415">
        <v>10</v>
      </c>
      <c r="K1415" s="314" t="s">
        <v>5678</v>
      </c>
      <c r="L1415" s="155"/>
      <c r="P1415" s="314" t="s">
        <v>5679</v>
      </c>
      <c r="Q1415" s="295"/>
      <c r="S1415" s="295"/>
      <c r="T1415" s="1" t="s">
        <v>5676</v>
      </c>
      <c r="V1415" s="177" t="s">
        <v>0</v>
      </c>
      <c r="W1415" s="1"/>
      <c r="X1415" s="1"/>
    </row>
    <row r="1416" spans="2:31" x14ac:dyDescent="0.35">
      <c r="C1416" s="351" t="s">
        <v>3063</v>
      </c>
      <c r="D1416" s="155" t="s">
        <v>5682</v>
      </c>
      <c r="F1416" s="186">
        <v>0.06</v>
      </c>
      <c r="G1416" s="314" t="s">
        <v>5625</v>
      </c>
      <c r="H1416" s="10">
        <v>8.5000000000000006E-2</v>
      </c>
      <c r="I1416">
        <v>60</v>
      </c>
      <c r="J1416">
        <v>20</v>
      </c>
      <c r="K1416" s="314" t="s">
        <v>5683</v>
      </c>
      <c r="L1416" s="155"/>
      <c r="P1416" s="314" t="s">
        <v>5684</v>
      </c>
      <c r="R1416" s="295"/>
      <c r="S1416" s="295"/>
      <c r="T1416" s="1" t="s">
        <v>5681</v>
      </c>
      <c r="V1416" s="177" t="s">
        <v>0</v>
      </c>
      <c r="W1416" s="1"/>
      <c r="X1416" s="1"/>
    </row>
    <row r="1417" spans="2:31" x14ac:dyDescent="0.35">
      <c r="D1417" s="155" t="s">
        <v>5686</v>
      </c>
      <c r="F1417" s="186">
        <v>7.0000000000000007E-2</v>
      </c>
      <c r="G1417" s="314" t="s">
        <v>5625</v>
      </c>
      <c r="H1417" s="10">
        <v>0.08</v>
      </c>
      <c r="I1417">
        <v>20</v>
      </c>
      <c r="J1417">
        <v>12</v>
      </c>
      <c r="K1417" s="314" t="s">
        <v>5688</v>
      </c>
      <c r="L1417" s="155"/>
      <c r="P1417" s="314" t="s">
        <v>5687</v>
      </c>
      <c r="R1417" s="295"/>
      <c r="S1417" s="295"/>
      <c r="T1417" s="1" t="s">
        <v>5685</v>
      </c>
      <c r="V1417" s="177" t="s">
        <v>0</v>
      </c>
      <c r="W1417" s="1"/>
      <c r="X1417" s="1"/>
    </row>
    <row r="1418" spans="2:31" x14ac:dyDescent="0.35">
      <c r="D1418" s="155"/>
      <c r="E1418" s="155"/>
      <c r="F1418" s="186"/>
      <c r="H1418" s="314"/>
      <c r="I1418" s="314"/>
      <c r="K1418" s="155"/>
      <c r="O1418" s="314"/>
      <c r="Q1418" s="295"/>
      <c r="R1418" s="295"/>
      <c r="S1418" s="1"/>
      <c r="V1418" s="177" t="s">
        <v>0</v>
      </c>
      <c r="W1418" s="1"/>
      <c r="X1418" s="1"/>
    </row>
    <row r="1419" spans="2:31" x14ac:dyDescent="0.35">
      <c r="C1419" s="351" t="s">
        <v>3063</v>
      </c>
      <c r="D1419" s="155" t="s">
        <v>5692</v>
      </c>
      <c r="E1419" s="155"/>
      <c r="F1419" s="186">
        <v>0.08</v>
      </c>
      <c r="G1419" s="314" t="s">
        <v>5626</v>
      </c>
      <c r="H1419" s="10">
        <v>6.5000000000000002E-2</v>
      </c>
      <c r="I1419">
        <v>30</v>
      </c>
      <c r="J1419">
        <v>20</v>
      </c>
      <c r="K1419" s="314" t="s">
        <v>5693</v>
      </c>
      <c r="L1419" s="155"/>
      <c r="P1419" s="314" t="s">
        <v>5631</v>
      </c>
      <c r="R1419" s="295"/>
      <c r="S1419" s="1"/>
      <c r="T1419" s="1" t="s">
        <v>5691</v>
      </c>
      <c r="V1419" s="177" t="s">
        <v>0</v>
      </c>
      <c r="W1419" s="1"/>
      <c r="X1419" s="1"/>
    </row>
    <row r="1420" spans="2:31" x14ac:dyDescent="0.35">
      <c r="C1420" s="351"/>
      <c r="D1420" s="155"/>
      <c r="E1420" s="155"/>
      <c r="F1420" s="186"/>
      <c r="G1420" s="314"/>
      <c r="H1420" s="10"/>
      <c r="K1420" s="314"/>
      <c r="L1420" s="155"/>
      <c r="P1420" s="314"/>
      <c r="R1420" s="295"/>
      <c r="S1420" s="1"/>
      <c r="T1420" s="1"/>
      <c r="V1420" s="177"/>
      <c r="W1420" s="1"/>
      <c r="X1420" s="1"/>
    </row>
    <row r="1421" spans="2:31" x14ac:dyDescent="0.35">
      <c r="B1421" s="83" t="s">
        <v>3466</v>
      </c>
      <c r="D1421" s="386"/>
      <c r="E1421" s="177"/>
      <c r="F1421" s="387"/>
      <c r="G1421" s="316"/>
      <c r="I1421" s="162"/>
      <c r="J1421" s="162"/>
      <c r="K1421" s="73"/>
      <c r="L1421" s="313"/>
      <c r="M1421" s="73"/>
      <c r="N1421" s="73"/>
      <c r="O1421" s="313"/>
      <c r="Q1421" s="1"/>
      <c r="U1421" s="162"/>
      <c r="Z1421" s="12"/>
      <c r="AA1421" s="315"/>
      <c r="AB1421" s="89"/>
    </row>
    <row r="1422" spans="2:31" ht="36.5" x14ac:dyDescent="0.35">
      <c r="B1422" s="187"/>
      <c r="D1422" s="123" t="s">
        <v>2956</v>
      </c>
      <c r="E1422" s="177"/>
      <c r="F1422" s="123" t="s">
        <v>620</v>
      </c>
      <c r="G1422" s="316"/>
      <c r="I1422" s="123" t="s">
        <v>3685</v>
      </c>
      <c r="J1422" s="123" t="s">
        <v>3485</v>
      </c>
      <c r="K1422" s="123" t="s">
        <v>3489</v>
      </c>
      <c r="L1422" s="123" t="s">
        <v>3486</v>
      </c>
      <c r="M1422" s="123" t="s">
        <v>3487</v>
      </c>
      <c r="N1422" s="123" t="s">
        <v>3488</v>
      </c>
      <c r="O1422" s="123" t="s">
        <v>5674</v>
      </c>
      <c r="P1422" s="123" t="s">
        <v>4036</v>
      </c>
      <c r="Q1422" s="123" t="s">
        <v>4034</v>
      </c>
      <c r="R1422" s="123" t="s">
        <v>4103</v>
      </c>
      <c r="S1422" s="123" t="s">
        <v>5718</v>
      </c>
      <c r="T1422" s="123" t="s">
        <v>5719</v>
      </c>
      <c r="U1422" s="123" t="s">
        <v>5734</v>
      </c>
      <c r="V1422" s="123" t="s">
        <v>5735</v>
      </c>
      <c r="W1422" s="123" t="s">
        <v>4029</v>
      </c>
      <c r="X1422" s="123" t="s">
        <v>4030</v>
      </c>
      <c r="Y1422" s="123" t="s">
        <v>3483</v>
      </c>
      <c r="Z1422" s="123" t="s">
        <v>2961</v>
      </c>
      <c r="AE1422" s="315"/>
    </row>
    <row r="1423" spans="2:31" x14ac:dyDescent="0.35">
      <c r="D1423" s="297"/>
      <c r="E1423" s="177"/>
      <c r="F1423" s="297"/>
      <c r="G1423" s="316"/>
      <c r="I1423" s="297"/>
      <c r="J1423" s="297"/>
      <c r="K1423" s="297"/>
      <c r="L1423" s="297"/>
      <c r="M1423" s="297"/>
      <c r="N1423" s="297"/>
      <c r="O1423" s="297"/>
      <c r="P1423" s="297"/>
      <c r="Q1423" s="297"/>
      <c r="R1423" s="297"/>
      <c r="S1423" s="385"/>
      <c r="T1423" s="385"/>
      <c r="U1423" s="385"/>
      <c r="V1423" s="385"/>
      <c r="W1423" s="385"/>
      <c r="X1423" s="385"/>
      <c r="Y1423" s="297"/>
      <c r="Z1423" s="297"/>
      <c r="AE1423" s="315"/>
    </row>
    <row r="1424" spans="2:31" x14ac:dyDescent="0.35">
      <c r="B1424" s="187"/>
      <c r="D1424" s="727" t="s">
        <v>7034</v>
      </c>
    </row>
    <row r="1425" spans="1:31" x14ac:dyDescent="0.35">
      <c r="B1425" s="187"/>
      <c r="D1425" s="386" t="s">
        <v>5742</v>
      </c>
      <c r="E1425" s="177"/>
      <c r="F1425" s="387">
        <v>1.1399999999999999</v>
      </c>
      <c r="G1425" s="316"/>
      <c r="H1425" s="295" t="s">
        <v>3636</v>
      </c>
      <c r="I1425" s="162"/>
      <c r="J1425" s="162">
        <v>120</v>
      </c>
      <c r="K1425" s="73" t="s">
        <v>5743</v>
      </c>
      <c r="L1425" s="3" t="s">
        <v>3198</v>
      </c>
      <c r="M1425" s="3" t="s">
        <v>3198</v>
      </c>
      <c r="N1425" s="3" t="s">
        <v>3198</v>
      </c>
      <c r="P1425" s="3" t="s">
        <v>3198</v>
      </c>
      <c r="Q1425" s="3" t="s">
        <v>3198</v>
      </c>
      <c r="R1425" s="397" t="s">
        <v>3484</v>
      </c>
      <c r="S1425" s="316" t="s">
        <v>5744</v>
      </c>
      <c r="T1425" s="316" t="s">
        <v>5745</v>
      </c>
      <c r="U1425" s="316" t="s">
        <v>5746</v>
      </c>
      <c r="V1425" s="316" t="s">
        <v>5746</v>
      </c>
      <c r="W1425" s="316" t="s">
        <v>5747</v>
      </c>
      <c r="X1425" s="316" t="s">
        <v>5748</v>
      </c>
      <c r="Y1425">
        <v>2019</v>
      </c>
      <c r="Z1425" s="1" t="s">
        <v>5749</v>
      </c>
      <c r="AB1425" t="s">
        <v>0</v>
      </c>
      <c r="AC1425" t="s">
        <v>5796</v>
      </c>
      <c r="AE1425" s="315"/>
    </row>
    <row r="1426" spans="1:31" x14ac:dyDescent="0.35">
      <c r="B1426" s="187"/>
      <c r="D1426" s="386" t="s">
        <v>4028</v>
      </c>
      <c r="E1426" s="177"/>
      <c r="F1426" s="387">
        <v>0.75</v>
      </c>
      <c r="G1426" s="316"/>
      <c r="H1426" s="295" t="s">
        <v>3636</v>
      </c>
      <c r="I1426" s="162"/>
      <c r="J1426" s="162">
        <v>600</v>
      </c>
      <c r="K1426" s="73" t="s">
        <v>5826</v>
      </c>
      <c r="L1426" s="3"/>
      <c r="M1426" s="3"/>
      <c r="N1426" s="3"/>
      <c r="Q1426" s="3" t="s">
        <v>3198</v>
      </c>
      <c r="R1426" s="397" t="s">
        <v>3484</v>
      </c>
      <c r="S1426" s="128"/>
      <c r="T1426" s="128"/>
      <c r="U1426" s="128"/>
      <c r="V1426" s="128"/>
      <c r="W1426" s="128"/>
      <c r="X1426" s="128"/>
      <c r="Z1426" s="1"/>
      <c r="AE1426" s="315"/>
    </row>
    <row r="1427" spans="1:31" x14ac:dyDescent="0.35">
      <c r="B1427" s="187"/>
      <c r="D1427" s="386" t="s">
        <v>4033</v>
      </c>
      <c r="E1427" s="177"/>
      <c r="F1427" s="387">
        <v>0.8</v>
      </c>
      <c r="G1427" s="316"/>
      <c r="H1427" s="295" t="s">
        <v>3636</v>
      </c>
      <c r="I1427" s="162"/>
      <c r="J1427" s="162">
        <v>600</v>
      </c>
      <c r="K1427" s="73" t="s">
        <v>4035</v>
      </c>
      <c r="L1427" s="3" t="s">
        <v>3198</v>
      </c>
      <c r="M1427" s="3" t="s">
        <v>3198</v>
      </c>
      <c r="N1427" s="3" t="s">
        <v>3198</v>
      </c>
      <c r="P1427">
        <v>100</v>
      </c>
      <c r="Q1427" s="3" t="s">
        <v>3198</v>
      </c>
      <c r="R1427" s="397" t="s">
        <v>3484</v>
      </c>
      <c r="S1427" s="128"/>
      <c r="T1427" s="128"/>
      <c r="U1427" s="316" t="s">
        <v>5731</v>
      </c>
      <c r="V1427" s="316" t="s">
        <v>5731</v>
      </c>
      <c r="W1427" s="316" t="s">
        <v>5732</v>
      </c>
      <c r="X1427" s="316" t="s">
        <v>5733</v>
      </c>
      <c r="Y1427" s="89">
        <v>2017</v>
      </c>
      <c r="Z1427" s="1" t="s">
        <v>4032</v>
      </c>
      <c r="AB1427" t="s">
        <v>0</v>
      </c>
      <c r="AC1427" t="s">
        <v>5815</v>
      </c>
      <c r="AE1427" s="315"/>
    </row>
    <row r="1428" spans="1:31" x14ac:dyDescent="0.35">
      <c r="B1428" s="187"/>
      <c r="C1428" s="351"/>
      <c r="D1428" s="386" t="s">
        <v>3715</v>
      </c>
      <c r="E1428" s="177"/>
      <c r="F1428" s="387">
        <v>1.2</v>
      </c>
      <c r="G1428" s="316"/>
      <c r="H1428" s="295" t="s">
        <v>3636</v>
      </c>
      <c r="I1428" s="162"/>
      <c r="J1428" s="162">
        <v>600</v>
      </c>
      <c r="K1428" s="73" t="s">
        <v>3716</v>
      </c>
      <c r="L1428" s="3" t="s">
        <v>3198</v>
      </c>
      <c r="M1428" s="3" t="s">
        <v>3198</v>
      </c>
      <c r="N1428" s="3" t="s">
        <v>3198</v>
      </c>
      <c r="Q1428" s="397" t="s">
        <v>3484</v>
      </c>
      <c r="R1428" s="3" t="s">
        <v>3198</v>
      </c>
      <c r="S1428" s="316" t="s">
        <v>5717</v>
      </c>
      <c r="T1428" s="316" t="s">
        <v>5716</v>
      </c>
      <c r="U1428" s="316" t="s">
        <v>5720</v>
      </c>
      <c r="V1428" s="316" t="s">
        <v>5720</v>
      </c>
      <c r="W1428" s="316" t="s">
        <v>5721</v>
      </c>
      <c r="X1428" s="316" t="s">
        <v>5721</v>
      </c>
      <c r="Z1428" s="1" t="s">
        <v>3714</v>
      </c>
      <c r="AB1428" t="s">
        <v>0</v>
      </c>
      <c r="AC1428" t="s">
        <v>5780</v>
      </c>
      <c r="AE1428" s="315"/>
    </row>
    <row r="1429" spans="1:31" x14ac:dyDescent="0.35">
      <c r="B1429" s="187"/>
    </row>
    <row r="1430" spans="1:31" x14ac:dyDescent="0.35">
      <c r="B1430" s="187"/>
      <c r="D1430" s="386" t="s">
        <v>5925</v>
      </c>
      <c r="E1430" s="177"/>
      <c r="F1430" s="387">
        <v>1.35</v>
      </c>
      <c r="G1430" s="316"/>
      <c r="H1430" s="295" t="s">
        <v>5927</v>
      </c>
      <c r="I1430" s="162"/>
      <c r="J1430" s="162"/>
      <c r="K1430" s="73"/>
      <c r="L1430" s="3"/>
      <c r="M1430" s="3"/>
      <c r="N1430" s="3"/>
      <c r="P1430" s="316"/>
      <c r="Q1430" s="397" t="s">
        <v>3484</v>
      </c>
      <c r="R1430" s="397"/>
      <c r="S1430" s="316"/>
      <c r="T1430" s="316"/>
      <c r="U1430" s="316"/>
      <c r="V1430" s="316"/>
      <c r="W1430" s="316"/>
      <c r="X1430" s="316"/>
      <c r="Z1430" s="1"/>
      <c r="AE1430" s="315"/>
    </row>
    <row r="1431" spans="1:31" x14ac:dyDescent="0.35">
      <c r="B1431" s="187"/>
      <c r="D1431" s="386" t="s">
        <v>5924</v>
      </c>
      <c r="E1431" s="177"/>
      <c r="F1431" s="387">
        <v>1.08</v>
      </c>
      <c r="G1431" s="316"/>
      <c r="H1431" s="295" t="s">
        <v>5926</v>
      </c>
      <c r="I1431" s="162"/>
      <c r="J1431" s="162"/>
      <c r="K1431" s="73"/>
      <c r="L1431" s="3"/>
      <c r="M1431" s="3"/>
      <c r="N1431" s="3"/>
      <c r="P1431" s="316"/>
      <c r="Q1431" s="397" t="s">
        <v>3484</v>
      </c>
      <c r="R1431" s="397"/>
      <c r="S1431" s="316"/>
      <c r="T1431" s="316"/>
      <c r="U1431" s="316"/>
      <c r="V1431" s="316"/>
      <c r="W1431" s="316"/>
      <c r="X1431" s="316"/>
      <c r="Z1431" s="1"/>
      <c r="AE1431" s="315"/>
    </row>
    <row r="1432" spans="1:31" x14ac:dyDescent="0.35">
      <c r="B1432" s="187"/>
      <c r="D1432" s="386" t="s">
        <v>5919</v>
      </c>
      <c r="E1432" s="177"/>
      <c r="F1432" s="387">
        <v>1.25</v>
      </c>
      <c r="G1432" s="316"/>
      <c r="H1432" s="295" t="s">
        <v>5928</v>
      </c>
      <c r="I1432" s="162"/>
      <c r="J1432" s="162"/>
      <c r="K1432" s="73"/>
      <c r="L1432" s="3"/>
      <c r="M1432" s="3"/>
      <c r="N1432" s="3"/>
      <c r="P1432" s="316"/>
      <c r="Q1432" s="3" t="s">
        <v>3198</v>
      </c>
      <c r="R1432" s="397"/>
      <c r="S1432" s="316"/>
      <c r="T1432" s="316"/>
      <c r="U1432" s="316"/>
      <c r="V1432" s="316"/>
      <c r="W1432" s="316"/>
      <c r="X1432" s="316"/>
      <c r="Y1432">
        <v>2004</v>
      </c>
      <c r="Z1432" s="1"/>
      <c r="AC1432" t="s">
        <v>5920</v>
      </c>
      <c r="AE1432" s="315"/>
    </row>
    <row r="1433" spans="1:31" x14ac:dyDescent="0.35">
      <c r="B1433" s="187"/>
      <c r="D1433" s="386" t="s">
        <v>5918</v>
      </c>
      <c r="E1433" s="177"/>
      <c r="F1433" s="387">
        <v>1.02</v>
      </c>
      <c r="G1433" s="316"/>
      <c r="H1433" s="295" t="s">
        <v>5968</v>
      </c>
      <c r="I1433" s="162"/>
      <c r="J1433" s="162">
        <v>100</v>
      </c>
      <c r="K1433" s="73" t="s">
        <v>5967</v>
      </c>
      <c r="L1433" s="3"/>
      <c r="M1433" s="3"/>
      <c r="N1433" s="3"/>
      <c r="P1433" s="316"/>
      <c r="Q1433" s="3"/>
      <c r="R1433" s="397"/>
      <c r="S1433" s="316"/>
      <c r="T1433" s="316"/>
      <c r="U1433" s="316"/>
      <c r="V1433" s="316"/>
      <c r="W1433" s="316"/>
      <c r="X1433" s="316"/>
      <c r="Z1433" s="1"/>
      <c r="AC1433" t="s">
        <v>5969</v>
      </c>
      <c r="AE1433" s="315"/>
    </row>
    <row r="1434" spans="1:31" x14ac:dyDescent="0.35">
      <c r="B1434" s="187"/>
      <c r="D1434" s="386" t="s">
        <v>5921</v>
      </c>
      <c r="E1434" s="177"/>
      <c r="F1434" s="387">
        <v>0.73</v>
      </c>
      <c r="G1434" s="316"/>
      <c r="H1434" s="295" t="s">
        <v>5968</v>
      </c>
      <c r="I1434" s="162"/>
      <c r="J1434" s="162">
        <v>100</v>
      </c>
      <c r="K1434" s="73" t="s">
        <v>5966</v>
      </c>
      <c r="L1434" s="3"/>
      <c r="M1434" s="3"/>
      <c r="N1434" s="3"/>
      <c r="P1434" s="316"/>
      <c r="Q1434" s="3" t="s">
        <v>3198</v>
      </c>
      <c r="R1434" s="397"/>
      <c r="S1434" s="316"/>
      <c r="T1434" s="316"/>
      <c r="U1434" s="316"/>
      <c r="V1434" s="316"/>
      <c r="W1434" s="316"/>
      <c r="X1434" s="316"/>
      <c r="Y1434">
        <v>2006</v>
      </c>
      <c r="Z1434" s="1" t="s">
        <v>5922</v>
      </c>
      <c r="AB1434" t="s">
        <v>0</v>
      </c>
      <c r="AC1434" t="s">
        <v>5923</v>
      </c>
      <c r="AE1434" s="315"/>
    </row>
    <row r="1435" spans="1:31" x14ac:dyDescent="0.35">
      <c r="B1435" s="187"/>
      <c r="D1435" s="386" t="s">
        <v>5814</v>
      </c>
      <c r="E1435" s="177"/>
      <c r="F1435" s="387">
        <v>0.9</v>
      </c>
      <c r="G1435" s="316"/>
      <c r="H1435" s="295" t="s">
        <v>5929</v>
      </c>
      <c r="I1435" s="162"/>
      <c r="J1435" s="162">
        <v>100</v>
      </c>
      <c r="K1435" s="73" t="s">
        <v>5911</v>
      </c>
      <c r="L1435" s="3" t="s">
        <v>3198</v>
      </c>
      <c r="M1435" s="3" t="s">
        <v>3198</v>
      </c>
      <c r="N1435" s="3" t="s">
        <v>3198</v>
      </c>
      <c r="P1435" s="316" t="s">
        <v>5915</v>
      </c>
      <c r="Q1435" s="397" t="s">
        <v>3484</v>
      </c>
      <c r="R1435" s="397"/>
      <c r="S1435" s="316" t="s">
        <v>5912</v>
      </c>
      <c r="T1435" s="316" t="s">
        <v>5913</v>
      </c>
      <c r="U1435" s="316" t="s">
        <v>5914</v>
      </c>
      <c r="V1435" s="316" t="s">
        <v>5914</v>
      </c>
      <c r="W1435" s="316" t="s">
        <v>5916</v>
      </c>
      <c r="X1435" s="316" t="s">
        <v>5916</v>
      </c>
      <c r="Y1435">
        <v>2004</v>
      </c>
      <c r="Z1435" s="1"/>
      <c r="AC1435" t="s">
        <v>5917</v>
      </c>
      <c r="AE1435" s="315"/>
    </row>
    <row r="1436" spans="1:31" x14ac:dyDescent="0.35">
      <c r="B1436" s="187"/>
      <c r="D1436" s="386"/>
      <c r="E1436" s="177"/>
      <c r="F1436" s="387"/>
      <c r="G1436" s="316"/>
      <c r="H1436" s="295"/>
      <c r="I1436" s="162"/>
      <c r="J1436" s="162"/>
      <c r="K1436" s="73"/>
      <c r="L1436" s="3"/>
      <c r="M1436" s="3"/>
      <c r="N1436" s="3"/>
      <c r="Q1436" s="3"/>
      <c r="R1436" s="397"/>
      <c r="S1436" s="128"/>
      <c r="T1436" s="128"/>
      <c r="U1436" s="316"/>
      <c r="V1436" s="316"/>
      <c r="W1436" s="316"/>
      <c r="X1436" s="316"/>
      <c r="Y1436" s="89"/>
      <c r="Z1436" s="1"/>
      <c r="AE1436" s="315"/>
    </row>
    <row r="1437" spans="1:31" x14ac:dyDescent="0.35">
      <c r="B1437" s="187"/>
      <c r="C1437" s="559" t="s">
        <v>3063</v>
      </c>
      <c r="D1437" s="386" t="s">
        <v>5970</v>
      </c>
      <c r="E1437" s="177"/>
      <c r="F1437" s="387">
        <v>1.1000000000000001</v>
      </c>
      <c r="G1437" s="316"/>
      <c r="H1437" s="295" t="s">
        <v>3636</v>
      </c>
      <c r="I1437" s="162"/>
      <c r="J1437" s="162">
        <v>200</v>
      </c>
      <c r="K1437" s="128" t="s">
        <v>9032</v>
      </c>
      <c r="L1437" s="3" t="s">
        <v>3198</v>
      </c>
      <c r="M1437" s="3" t="s">
        <v>3198</v>
      </c>
      <c r="N1437" s="3" t="s">
        <v>3198</v>
      </c>
      <c r="P1437" s="397" t="s">
        <v>3484</v>
      </c>
      <c r="Q1437" s="397" t="s">
        <v>3484</v>
      </c>
      <c r="R1437" s="397" t="s">
        <v>3484</v>
      </c>
      <c r="S1437" s="316" t="s">
        <v>5736</v>
      </c>
      <c r="T1437" s="316" t="s">
        <v>5737</v>
      </c>
      <c r="U1437" s="316" t="s">
        <v>5738</v>
      </c>
      <c r="V1437" s="316" t="s">
        <v>5738</v>
      </c>
      <c r="W1437" s="316" t="s">
        <v>5739</v>
      </c>
      <c r="X1437" s="316" t="s">
        <v>5740</v>
      </c>
      <c r="Y1437">
        <v>2019</v>
      </c>
      <c r="Z1437" s="1" t="s">
        <v>5741</v>
      </c>
      <c r="AB1437" s="1" t="s">
        <v>0</v>
      </c>
      <c r="AC1437" t="s">
        <v>5795</v>
      </c>
      <c r="AE1437" s="315"/>
    </row>
    <row r="1438" spans="1:31" x14ac:dyDescent="0.35">
      <c r="B1438" s="187"/>
      <c r="D1438" s="383" t="s">
        <v>5971</v>
      </c>
      <c r="E1438" s="177"/>
      <c r="F1438" s="387">
        <v>0.82</v>
      </c>
      <c r="G1438" s="316"/>
      <c r="H1438" s="295" t="s">
        <v>3636</v>
      </c>
      <c r="I1438" s="162"/>
      <c r="J1438" s="162">
        <v>700</v>
      </c>
      <c r="K1438" s="73" t="s">
        <v>5787</v>
      </c>
      <c r="L1438" s="3" t="s">
        <v>3198</v>
      </c>
      <c r="M1438" s="3" t="s">
        <v>3198</v>
      </c>
      <c r="N1438" s="3" t="s">
        <v>3198</v>
      </c>
      <c r="P1438" s="316" t="s">
        <v>5788</v>
      </c>
      <c r="R1438" s="397" t="s">
        <v>3484</v>
      </c>
      <c r="S1438" s="316" t="s">
        <v>5790</v>
      </c>
      <c r="T1438" s="316" t="s">
        <v>5791</v>
      </c>
      <c r="U1438" s="316" t="s">
        <v>5792</v>
      </c>
      <c r="V1438" s="316" t="s">
        <v>5792</v>
      </c>
      <c r="W1438" s="316" t="s">
        <v>5793</v>
      </c>
      <c r="X1438" s="316" t="s">
        <v>5793</v>
      </c>
      <c r="Y1438">
        <v>2018</v>
      </c>
      <c r="Z1438" s="1" t="s">
        <v>5789</v>
      </c>
      <c r="AB1438" t="s">
        <v>0</v>
      </c>
      <c r="AC1438" t="s">
        <v>5794</v>
      </c>
      <c r="AE1438" s="315"/>
    </row>
    <row r="1439" spans="1:31" x14ac:dyDescent="0.35">
      <c r="B1439" s="187"/>
      <c r="D1439" s="383"/>
      <c r="E1439" s="177"/>
      <c r="F1439" s="387"/>
      <c r="G1439" s="316"/>
      <c r="H1439" s="295"/>
      <c r="I1439" s="162"/>
      <c r="J1439" s="162"/>
      <c r="K1439" s="73"/>
      <c r="L1439" s="3"/>
      <c r="M1439" s="3"/>
      <c r="N1439" s="3"/>
      <c r="P1439" s="316"/>
      <c r="R1439" s="397"/>
      <c r="S1439" s="316"/>
      <c r="T1439" s="316"/>
      <c r="U1439" s="316"/>
      <c r="V1439" s="316"/>
      <c r="W1439" s="316"/>
      <c r="X1439" s="316"/>
      <c r="Z1439" s="1"/>
      <c r="AE1439" s="315"/>
    </row>
    <row r="1440" spans="1:31" x14ac:dyDescent="0.35">
      <c r="A1440" s="90"/>
      <c r="B1440" s="728"/>
      <c r="C1440" s="558" t="s">
        <v>5980</v>
      </c>
      <c r="D1440" s="383" t="s">
        <v>5832</v>
      </c>
      <c r="E1440" s="177"/>
      <c r="F1440" s="387">
        <v>0.53</v>
      </c>
      <c r="G1440" s="316"/>
      <c r="H1440" s="295" t="s">
        <v>3636</v>
      </c>
      <c r="I1440" s="162"/>
      <c r="J1440" s="162">
        <v>200</v>
      </c>
      <c r="K1440" s="128" t="s">
        <v>5824</v>
      </c>
      <c r="L1440" s="3" t="s">
        <v>3198</v>
      </c>
      <c r="M1440" s="3" t="s">
        <v>3198</v>
      </c>
      <c r="N1440" s="3" t="s">
        <v>3198</v>
      </c>
      <c r="Q1440" s="397" t="s">
        <v>3484</v>
      </c>
      <c r="S1440" s="128"/>
      <c r="T1440" s="128"/>
      <c r="U1440" s="128"/>
      <c r="V1440" s="128"/>
      <c r="W1440" s="128"/>
      <c r="X1440" s="128"/>
      <c r="Y1440" s="89">
        <v>2019</v>
      </c>
      <c r="Z1440" s="1" t="s">
        <v>5822</v>
      </c>
      <c r="AB1440" t="s">
        <v>0</v>
      </c>
      <c r="AC1440" t="s">
        <v>5823</v>
      </c>
      <c r="AE1440" s="315"/>
    </row>
    <row r="1441" spans="1:37" x14ac:dyDescent="0.35">
      <c r="A1441" s="90"/>
      <c r="B1441" s="728"/>
      <c r="C1441" s="558" t="s">
        <v>5980</v>
      </c>
      <c r="D1441" s="386" t="s">
        <v>5833</v>
      </c>
      <c r="E1441" s="177"/>
      <c r="F1441" s="387">
        <v>0.75</v>
      </c>
      <c r="G1441" s="316"/>
      <c r="H1441" s="295" t="s">
        <v>3636</v>
      </c>
      <c r="I1441" s="162"/>
      <c r="J1441" s="162">
        <v>600</v>
      </c>
      <c r="K1441" s="73" t="s">
        <v>3731</v>
      </c>
      <c r="L1441" s="3" t="s">
        <v>3198</v>
      </c>
      <c r="M1441" s="3" t="s">
        <v>3198</v>
      </c>
      <c r="N1441" s="3" t="s">
        <v>3198</v>
      </c>
      <c r="P1441" s="313" t="s">
        <v>0</v>
      </c>
      <c r="Q1441" s="397" t="s">
        <v>3484</v>
      </c>
      <c r="R1441" s="397" t="s">
        <v>3484</v>
      </c>
      <c r="S1441" s="316" t="s">
        <v>4309</v>
      </c>
      <c r="T1441" s="316" t="s">
        <v>4309</v>
      </c>
      <c r="U1441" s="316" t="s">
        <v>5723</v>
      </c>
      <c r="V1441" s="316" t="s">
        <v>5723</v>
      </c>
      <c r="W1441" s="316" t="s">
        <v>5722</v>
      </c>
      <c r="X1441" s="316" t="s">
        <v>5722</v>
      </c>
      <c r="Y1441" s="89">
        <v>2019</v>
      </c>
      <c r="Z1441" s="1" t="s">
        <v>5426</v>
      </c>
      <c r="AA1441" t="s">
        <v>0</v>
      </c>
      <c r="AB1441" s="1" t="s">
        <v>4023</v>
      </c>
      <c r="AC1441" t="s">
        <v>5781</v>
      </c>
      <c r="AE1441" t="s">
        <v>5782</v>
      </c>
    </row>
    <row r="1442" spans="1:37" x14ac:dyDescent="0.35">
      <c r="A1442" s="90"/>
      <c r="B1442" s="728"/>
      <c r="C1442" s="2"/>
      <c r="S1442" s="128"/>
      <c r="T1442" s="128"/>
      <c r="U1442" s="128"/>
      <c r="V1442" s="128"/>
      <c r="W1442" s="128"/>
      <c r="X1442" s="128"/>
    </row>
    <row r="1443" spans="1:37" x14ac:dyDescent="0.35">
      <c r="A1443" s="90"/>
      <c r="B1443" s="728"/>
      <c r="C1443" s="558" t="s">
        <v>5980</v>
      </c>
      <c r="D1443" s="386" t="s">
        <v>5827</v>
      </c>
      <c r="E1443" s="177"/>
      <c r="F1443" s="387">
        <v>0.66</v>
      </c>
      <c r="G1443" s="316"/>
      <c r="H1443" s="295" t="s">
        <v>3636</v>
      </c>
      <c r="I1443" s="162"/>
      <c r="J1443" s="162">
        <v>600</v>
      </c>
      <c r="K1443" s="73" t="s">
        <v>3716</v>
      </c>
      <c r="L1443" s="3" t="s">
        <v>3198</v>
      </c>
      <c r="M1443" s="3" t="s">
        <v>3198</v>
      </c>
      <c r="N1443" s="3" t="s">
        <v>3198</v>
      </c>
      <c r="P1443" s="316" t="s">
        <v>5821</v>
      </c>
      <c r="Q1443" s="397" t="s">
        <v>3484</v>
      </c>
      <c r="R1443" s="397" t="s">
        <v>3484</v>
      </c>
      <c r="S1443" s="316" t="s">
        <v>4309</v>
      </c>
      <c r="T1443" s="316" t="s">
        <v>4309</v>
      </c>
      <c r="U1443" s="316" t="s">
        <v>5725</v>
      </c>
      <c r="V1443" s="316" t="s">
        <v>5725</v>
      </c>
      <c r="W1443" s="316" t="s">
        <v>5820</v>
      </c>
      <c r="X1443" s="316" t="s">
        <v>5726</v>
      </c>
      <c r="Y1443">
        <v>2015</v>
      </c>
      <c r="Z1443" s="1" t="s">
        <v>5724</v>
      </c>
      <c r="AB1443" s="1" t="s">
        <v>0</v>
      </c>
      <c r="AC1443" t="s">
        <v>5817</v>
      </c>
      <c r="AE1443" s="315"/>
      <c r="AH1443" t="s">
        <v>5818</v>
      </c>
      <c r="AK1443" s="1" t="s">
        <v>5819</v>
      </c>
    </row>
    <row r="1444" spans="1:37" x14ac:dyDescent="0.35">
      <c r="A1444" s="90"/>
      <c r="B1444" s="728"/>
      <c r="C1444" s="558" t="s">
        <v>5980</v>
      </c>
      <c r="D1444" s="386" t="s">
        <v>5830</v>
      </c>
      <c r="E1444" s="177"/>
      <c r="F1444" s="387">
        <v>0.82</v>
      </c>
      <c r="G1444" s="316"/>
      <c r="H1444" s="295" t="s">
        <v>3636</v>
      </c>
      <c r="I1444" s="162"/>
      <c r="J1444" s="162">
        <v>650</v>
      </c>
      <c r="K1444" s="73" t="s">
        <v>5828</v>
      </c>
      <c r="L1444" s="3" t="s">
        <v>3198</v>
      </c>
      <c r="M1444" s="3" t="s">
        <v>3198</v>
      </c>
      <c r="N1444" s="3" t="s">
        <v>3198</v>
      </c>
      <c r="P1444" s="316" t="s">
        <v>5908</v>
      </c>
      <c r="Q1444" s="397" t="s">
        <v>3484</v>
      </c>
      <c r="R1444" s="397" t="s">
        <v>3484</v>
      </c>
      <c r="S1444" s="316" t="s">
        <v>5909</v>
      </c>
      <c r="T1444" s="316" t="s">
        <v>5910</v>
      </c>
      <c r="U1444" s="316" t="s">
        <v>5907</v>
      </c>
      <c r="V1444" s="316" t="s">
        <v>5907</v>
      </c>
      <c r="W1444" s="316" t="s">
        <v>5721</v>
      </c>
      <c r="X1444" s="316" t="s">
        <v>5721</v>
      </c>
      <c r="Y1444" s="89">
        <v>2020</v>
      </c>
      <c r="Z1444" s="1" t="s">
        <v>5829</v>
      </c>
      <c r="AB1444" s="1" t="s">
        <v>0</v>
      </c>
      <c r="AC1444" t="s">
        <v>5831</v>
      </c>
      <c r="AE1444" s="315"/>
      <c r="AK1444" s="1"/>
    </row>
    <row r="1445" spans="1:37" x14ac:dyDescent="0.35">
      <c r="B1445" s="187"/>
      <c r="C1445" s="351"/>
      <c r="D1445" s="386"/>
      <c r="E1445" s="177"/>
      <c r="F1445" s="387"/>
      <c r="G1445" s="316"/>
      <c r="H1445" s="295"/>
      <c r="I1445" s="162"/>
      <c r="J1445" s="162"/>
      <c r="K1445" s="73"/>
      <c r="L1445" s="3"/>
      <c r="M1445" s="3"/>
      <c r="N1445" s="3"/>
      <c r="P1445" s="316"/>
      <c r="Q1445" s="397"/>
      <c r="R1445" s="397"/>
      <c r="S1445" s="316"/>
      <c r="T1445" s="316"/>
      <c r="U1445" s="316"/>
      <c r="V1445" s="316"/>
      <c r="W1445" s="316"/>
      <c r="X1445" s="316"/>
      <c r="Y1445" s="89"/>
      <c r="Z1445" s="1"/>
      <c r="AB1445" s="1"/>
      <c r="AE1445" s="315"/>
      <c r="AK1445" s="1"/>
    </row>
    <row r="1446" spans="1:37" x14ac:dyDescent="0.35">
      <c r="B1446" s="187"/>
      <c r="C1446" s="351"/>
      <c r="D1446" s="386" t="s">
        <v>5825</v>
      </c>
      <c r="E1446" s="177"/>
      <c r="F1446" s="387">
        <v>0.86</v>
      </c>
      <c r="G1446" s="316"/>
      <c r="H1446" s="295" t="s">
        <v>3636</v>
      </c>
      <c r="I1446" s="162"/>
      <c r="J1446" s="162">
        <v>600</v>
      </c>
      <c r="K1446" s="73" t="s">
        <v>3716</v>
      </c>
      <c r="L1446" s="3" t="s">
        <v>3198</v>
      </c>
      <c r="M1446" s="3" t="s">
        <v>3198</v>
      </c>
      <c r="N1446" s="3" t="s">
        <v>3198</v>
      </c>
      <c r="P1446" s="555" t="s">
        <v>5730</v>
      </c>
      <c r="Q1446" s="3" t="s">
        <v>3198</v>
      </c>
      <c r="R1446" s="3" t="s">
        <v>3198</v>
      </c>
      <c r="S1446" s="316" t="s">
        <v>4309</v>
      </c>
      <c r="T1446" s="316" t="s">
        <v>4309</v>
      </c>
      <c r="U1446" s="316" t="s">
        <v>5728</v>
      </c>
      <c r="V1446" s="316" t="s">
        <v>5728</v>
      </c>
      <c r="W1446" s="316" t="s">
        <v>5729</v>
      </c>
      <c r="X1446" s="316" t="s">
        <v>5729</v>
      </c>
      <c r="Y1446">
        <v>2015</v>
      </c>
      <c r="Z1446" s="1" t="s">
        <v>5727</v>
      </c>
      <c r="AB1446" s="1" t="s">
        <v>0</v>
      </c>
      <c r="AC1446" t="s">
        <v>4759</v>
      </c>
      <c r="AE1446" s="315"/>
    </row>
    <row r="1447" spans="1:37" x14ac:dyDescent="0.35">
      <c r="B1447" s="187"/>
      <c r="C1447" s="351"/>
      <c r="D1447" s="386" t="s">
        <v>5834</v>
      </c>
      <c r="E1447" s="177"/>
      <c r="F1447" s="387">
        <v>0.7</v>
      </c>
      <c r="G1447" s="316"/>
      <c r="H1447" s="295" t="s">
        <v>3636</v>
      </c>
      <c r="I1447" s="162"/>
      <c r="J1447" s="162">
        <v>500</v>
      </c>
      <c r="K1447" s="73" t="s">
        <v>5828</v>
      </c>
      <c r="L1447" s="3" t="s">
        <v>3198</v>
      </c>
      <c r="M1447" s="3" t="s">
        <v>3198</v>
      </c>
      <c r="N1447" s="3" t="s">
        <v>3198</v>
      </c>
      <c r="P1447" s="397"/>
      <c r="Q1447" s="3" t="s">
        <v>3198</v>
      </c>
      <c r="R1447" s="397"/>
      <c r="S1447" s="313"/>
      <c r="T1447" s="313"/>
      <c r="U1447" s="313"/>
      <c r="V1447" s="313"/>
      <c r="W1447" s="313"/>
      <c r="X1447" s="313"/>
      <c r="Y1447">
        <v>2017</v>
      </c>
      <c r="Z1447" s="1"/>
      <c r="AB1447" s="1"/>
      <c r="AE1447" s="315"/>
    </row>
    <row r="1448" spans="1:37" x14ac:dyDescent="0.35">
      <c r="B1448" s="187"/>
      <c r="C1448" s="351"/>
      <c r="D1448" s="386"/>
      <c r="E1448" s="177"/>
      <c r="F1448" s="387"/>
      <c r="G1448" s="316"/>
      <c r="H1448" s="295"/>
      <c r="I1448" s="162"/>
      <c r="J1448" s="162"/>
      <c r="K1448" s="73"/>
      <c r="L1448" s="3"/>
      <c r="M1448" s="3"/>
      <c r="N1448" s="3"/>
      <c r="P1448" s="397"/>
      <c r="R1448" s="397"/>
      <c r="S1448" s="313"/>
      <c r="T1448" s="313"/>
      <c r="U1448" s="313"/>
      <c r="V1448" s="313"/>
      <c r="W1448" s="313"/>
      <c r="X1448" s="313"/>
      <c r="Z1448" s="1"/>
      <c r="AB1448" s="1"/>
      <c r="AE1448" s="315"/>
    </row>
    <row r="1449" spans="1:37" x14ac:dyDescent="0.35">
      <c r="D1449" s="755" t="s">
        <v>5785</v>
      </c>
      <c r="E1449" s="177"/>
      <c r="F1449" s="387"/>
      <c r="G1449" s="316"/>
      <c r="H1449" s="295"/>
      <c r="I1449" s="162"/>
      <c r="J1449" s="162"/>
      <c r="K1449" s="73"/>
      <c r="L1449" s="397"/>
      <c r="M1449" s="3"/>
      <c r="N1449" s="3"/>
      <c r="O1449" s="316"/>
      <c r="Q1449" s="1"/>
      <c r="Y1449" s="1"/>
      <c r="AB1449" s="12"/>
    </row>
    <row r="1450" spans="1:37" x14ac:dyDescent="0.35">
      <c r="B1450" s="187"/>
      <c r="D1450" s="385" t="s">
        <v>3467</v>
      </c>
      <c r="E1450" s="177"/>
      <c r="F1450" s="384">
        <v>0.41</v>
      </c>
      <c r="G1450" s="316"/>
      <c r="I1450" s="162">
        <v>120</v>
      </c>
      <c r="J1450" s="162">
        <v>200</v>
      </c>
      <c r="K1450" s="73" t="s">
        <v>3634</v>
      </c>
      <c r="L1450" s="3" t="s">
        <v>3198</v>
      </c>
      <c r="M1450" s="3" t="s">
        <v>3198</v>
      </c>
      <c r="N1450" s="3" t="s">
        <v>3198</v>
      </c>
      <c r="Z1450" s="297"/>
      <c r="AC1450" t="s">
        <v>5783</v>
      </c>
      <c r="AE1450" s="315"/>
    </row>
    <row r="1451" spans="1:37" x14ac:dyDescent="0.35">
      <c r="B1451" s="187"/>
      <c r="D1451" s="383" t="s">
        <v>5816</v>
      </c>
      <c r="E1451" s="177"/>
      <c r="F1451" s="384">
        <v>0.25</v>
      </c>
      <c r="G1451" s="316"/>
      <c r="I1451" s="162">
        <v>70</v>
      </c>
      <c r="J1451" s="162">
        <v>200</v>
      </c>
      <c r="K1451" s="73" t="s">
        <v>3633</v>
      </c>
      <c r="L1451" s="3" t="s">
        <v>3198</v>
      </c>
      <c r="M1451" s="3" t="s">
        <v>3198</v>
      </c>
      <c r="N1451" s="3" t="s">
        <v>3198</v>
      </c>
      <c r="Z1451" s="297"/>
      <c r="AE1451" s="315"/>
    </row>
    <row r="1452" spans="1:37" x14ac:dyDescent="0.35">
      <c r="B1452" s="187"/>
      <c r="D1452" s="385"/>
      <c r="E1452" s="177"/>
      <c r="F1452" s="384"/>
      <c r="G1452" s="316"/>
      <c r="I1452" s="162"/>
      <c r="J1452" s="162"/>
      <c r="K1452" s="73"/>
      <c r="L1452" s="3"/>
      <c r="M1452" s="3"/>
      <c r="N1452" s="3"/>
      <c r="Z1452" s="297"/>
      <c r="AE1452" s="315"/>
    </row>
    <row r="1453" spans="1:37" x14ac:dyDescent="0.35">
      <c r="D1453" s="755" t="s">
        <v>5784</v>
      </c>
      <c r="E1453" s="177"/>
      <c r="F1453" s="387"/>
      <c r="G1453" s="316"/>
      <c r="H1453" s="295"/>
      <c r="I1453" s="162"/>
      <c r="J1453" s="162"/>
      <c r="K1453" s="73"/>
      <c r="L1453" s="397"/>
      <c r="M1453" s="3"/>
      <c r="N1453" s="3"/>
      <c r="O1453" s="316"/>
      <c r="Q1453" s="1"/>
      <c r="Y1453" s="1"/>
      <c r="AB1453" s="12"/>
    </row>
    <row r="1454" spans="1:37" x14ac:dyDescent="0.35">
      <c r="B1454" s="187"/>
      <c r="D1454" s="386" t="s">
        <v>5487</v>
      </c>
      <c r="E1454" s="177"/>
      <c r="F1454" s="387">
        <v>0.2</v>
      </c>
      <c r="G1454" s="316"/>
      <c r="H1454" s="295" t="s">
        <v>5488</v>
      </c>
      <c r="I1454" s="162"/>
      <c r="J1454" s="162">
        <v>28</v>
      </c>
      <c r="K1454" s="73"/>
      <c r="L1454" s="397" t="s">
        <v>3484</v>
      </c>
      <c r="M1454" s="3" t="s">
        <v>3198</v>
      </c>
      <c r="N1454" s="3" t="s">
        <v>3198</v>
      </c>
      <c r="P1454" s="316"/>
      <c r="T1454" s="1"/>
      <c r="Z1454" s="1" t="s">
        <v>5486</v>
      </c>
      <c r="AB1454" t="s">
        <v>0</v>
      </c>
      <c r="AC1454" s="89"/>
    </row>
    <row r="1455" spans="1:37" x14ac:dyDescent="0.35">
      <c r="B1455" s="187"/>
      <c r="D1455" s="383" t="s">
        <v>3468</v>
      </c>
      <c r="E1455" s="177"/>
      <c r="F1455" s="387">
        <v>0.15</v>
      </c>
      <c r="G1455" s="316"/>
      <c r="H1455" s="295" t="s">
        <v>5786</v>
      </c>
      <c r="I1455" s="162"/>
      <c r="J1455" s="162">
        <v>35</v>
      </c>
      <c r="K1455" s="316" t="s">
        <v>3635</v>
      </c>
      <c r="L1455" s="397" t="s">
        <v>3484</v>
      </c>
      <c r="M1455" s="3" t="s">
        <v>3198</v>
      </c>
      <c r="N1455" s="3" t="s">
        <v>3198</v>
      </c>
      <c r="Z1455" s="1"/>
      <c r="AE1455" s="315"/>
    </row>
    <row r="1456" spans="1:37" x14ac:dyDescent="0.35">
      <c r="B1456" s="187"/>
      <c r="D1456" s="386" t="s">
        <v>5898</v>
      </c>
      <c r="E1456" s="177"/>
      <c r="F1456" s="389">
        <v>0.65</v>
      </c>
      <c r="G1456" s="316"/>
      <c r="H1456" s="295" t="s">
        <v>5897</v>
      </c>
      <c r="I1456" s="162"/>
      <c r="J1456" s="162">
        <v>150</v>
      </c>
      <c r="K1456" s="73" t="s">
        <v>5896</v>
      </c>
      <c r="L1456" s="397" t="s">
        <v>3484</v>
      </c>
      <c r="M1456" s="3" t="s">
        <v>3198</v>
      </c>
      <c r="N1456" s="3" t="s">
        <v>3198</v>
      </c>
      <c r="X1456" s="313" t="s">
        <v>5857</v>
      </c>
      <c r="Y1456">
        <v>2007</v>
      </c>
      <c r="Z1456" s="1" t="s">
        <v>3482</v>
      </c>
      <c r="AB1456" t="s">
        <v>0</v>
      </c>
      <c r="AE1456" s="315"/>
    </row>
    <row r="1457" spans="2:31" x14ac:dyDescent="0.35">
      <c r="B1457" s="187"/>
      <c r="C1457" s="559"/>
      <c r="D1457" s="383" t="s">
        <v>5895</v>
      </c>
      <c r="E1457" s="177"/>
      <c r="F1457" s="387">
        <v>0.43</v>
      </c>
      <c r="G1457" s="316"/>
      <c r="H1457" s="295" t="s">
        <v>5867</v>
      </c>
      <c r="I1457" s="162"/>
      <c r="J1457" s="162">
        <v>150</v>
      </c>
      <c r="K1457" s="73" t="s">
        <v>5640</v>
      </c>
      <c r="L1457" s="397" t="s">
        <v>3484</v>
      </c>
      <c r="M1457" s="3" t="s">
        <v>3198</v>
      </c>
      <c r="N1457" s="3" t="s">
        <v>3198</v>
      </c>
      <c r="S1457" s="316" t="s">
        <v>5869</v>
      </c>
      <c r="T1457" s="316" t="s">
        <v>5868</v>
      </c>
      <c r="U1457" s="313" t="s">
        <v>5870</v>
      </c>
      <c r="V1457" s="313" t="s">
        <v>5870</v>
      </c>
      <c r="W1457" s="313" t="s">
        <v>5871</v>
      </c>
      <c r="X1457" s="313" t="s">
        <v>5871</v>
      </c>
      <c r="Y1457" s="89">
        <v>2019</v>
      </c>
      <c r="Z1457" s="1" t="s">
        <v>5858</v>
      </c>
      <c r="AB1457" t="s">
        <v>0</v>
      </c>
      <c r="AC1457" t="s">
        <v>5894</v>
      </c>
      <c r="AE1457" s="315"/>
    </row>
    <row r="1458" spans="2:31" x14ac:dyDescent="0.35">
      <c r="B1458" s="187"/>
      <c r="D1458" s="383"/>
      <c r="E1458" s="177"/>
      <c r="F1458" s="387"/>
      <c r="G1458" s="316"/>
      <c r="H1458" s="295"/>
      <c r="I1458" s="162"/>
      <c r="J1458" s="162"/>
      <c r="K1458" s="316"/>
      <c r="L1458" s="3"/>
      <c r="M1458" s="3"/>
      <c r="N1458" s="3"/>
      <c r="Z1458" s="1"/>
      <c r="AE1458" s="315"/>
    </row>
    <row r="1459" spans="2:31" x14ac:dyDescent="0.35">
      <c r="D1459" s="755" t="s">
        <v>5839</v>
      </c>
      <c r="E1459" s="177"/>
      <c r="F1459" s="387"/>
      <c r="G1459" s="316"/>
      <c r="H1459" s="295"/>
      <c r="I1459" s="162"/>
      <c r="J1459" s="162"/>
      <c r="K1459" s="73"/>
      <c r="L1459" s="397"/>
      <c r="M1459" s="3"/>
      <c r="N1459" s="3"/>
      <c r="O1459" s="316"/>
      <c r="Q1459" s="1"/>
      <c r="Y1459" s="1"/>
      <c r="AB1459" s="12"/>
    </row>
    <row r="1460" spans="2:31" x14ac:dyDescent="0.35">
      <c r="D1460" s="386" t="s">
        <v>5639</v>
      </c>
      <c r="E1460" s="177"/>
      <c r="F1460" s="387">
        <v>0.46</v>
      </c>
      <c r="G1460" s="316"/>
      <c r="H1460" s="295" t="s">
        <v>5641</v>
      </c>
      <c r="I1460" s="162"/>
      <c r="J1460" s="162">
        <v>18</v>
      </c>
      <c r="K1460" s="73" t="s">
        <v>5640</v>
      </c>
      <c r="L1460" s="3" t="s">
        <v>3198</v>
      </c>
      <c r="M1460" s="397" t="s">
        <v>3484</v>
      </c>
      <c r="N1460" s="397" t="s">
        <v>3484</v>
      </c>
      <c r="P1460" s="316"/>
      <c r="T1460" s="1"/>
      <c r="Y1460">
        <v>2018</v>
      </c>
      <c r="Z1460" s="1" t="s">
        <v>5638</v>
      </c>
      <c r="AB1460" t="s">
        <v>0</v>
      </c>
      <c r="AC1460" s="89"/>
    </row>
    <row r="1461" spans="2:31" x14ac:dyDescent="0.35">
      <c r="C1461" s="559"/>
      <c r="D1461" s="386" t="s">
        <v>5848</v>
      </c>
      <c r="E1461" s="177"/>
      <c r="F1461" s="387">
        <v>0.59</v>
      </c>
      <c r="G1461" s="316"/>
      <c r="H1461" s="295" t="s">
        <v>5841</v>
      </c>
      <c r="I1461" s="162"/>
      <c r="J1461" s="162">
        <v>20</v>
      </c>
      <c r="K1461" s="73" t="s">
        <v>5842</v>
      </c>
      <c r="L1461" s="3" t="s">
        <v>3198</v>
      </c>
      <c r="M1461" s="397" t="s">
        <v>3484</v>
      </c>
      <c r="N1461" s="397" t="s">
        <v>3484</v>
      </c>
      <c r="P1461" s="316"/>
      <c r="Q1461" s="397" t="s">
        <v>3484</v>
      </c>
      <c r="R1461" s="397" t="s">
        <v>3484</v>
      </c>
      <c r="S1461" s="316" t="s">
        <v>5849</v>
      </c>
      <c r="T1461" s="316" t="s">
        <v>5850</v>
      </c>
      <c r="U1461" s="313" t="s">
        <v>5854</v>
      </c>
      <c r="V1461" s="313" t="s">
        <v>5854</v>
      </c>
      <c r="W1461" s="313" t="s">
        <v>5852</v>
      </c>
      <c r="X1461" s="313" t="s">
        <v>5853</v>
      </c>
      <c r="Y1461">
        <v>2011</v>
      </c>
      <c r="Z1461" s="1" t="s">
        <v>5851</v>
      </c>
      <c r="AB1461" t="s">
        <v>0</v>
      </c>
      <c r="AC1461" t="s">
        <v>5855</v>
      </c>
    </row>
    <row r="1462" spans="2:31" x14ac:dyDescent="0.35">
      <c r="C1462" s="559"/>
      <c r="D1462" s="386" t="s">
        <v>5875</v>
      </c>
      <c r="E1462" s="177"/>
      <c r="F1462" s="387">
        <v>0.37</v>
      </c>
      <c r="G1462" s="316"/>
      <c r="H1462" s="295" t="s">
        <v>5876</v>
      </c>
      <c r="I1462" s="162"/>
      <c r="J1462" s="396" t="s">
        <v>5880</v>
      </c>
      <c r="K1462" s="73" t="s">
        <v>5881</v>
      </c>
      <c r="L1462" s="3"/>
      <c r="M1462" s="397"/>
      <c r="N1462" s="397"/>
      <c r="P1462" s="316"/>
      <c r="Q1462" s="397"/>
      <c r="R1462" s="397"/>
      <c r="S1462" s="316" t="s">
        <v>5882</v>
      </c>
      <c r="T1462" s="316" t="s">
        <v>5882</v>
      </c>
      <c r="U1462" s="313" t="s">
        <v>5879</v>
      </c>
      <c r="V1462" s="313" t="s">
        <v>5879</v>
      </c>
      <c r="W1462" s="313" t="s">
        <v>5878</v>
      </c>
      <c r="X1462" s="313" t="s">
        <v>5878</v>
      </c>
      <c r="Y1462">
        <v>2019</v>
      </c>
      <c r="Z1462" s="1" t="s">
        <v>5874</v>
      </c>
      <c r="AB1462" t="s">
        <v>0</v>
      </c>
      <c r="AC1462" t="s">
        <v>5877</v>
      </c>
    </row>
    <row r="1463" spans="2:31" x14ac:dyDescent="0.35">
      <c r="C1463" s="559"/>
      <c r="D1463" s="386" t="s">
        <v>5901</v>
      </c>
      <c r="E1463" s="177"/>
      <c r="F1463" s="389">
        <v>0.65</v>
      </c>
      <c r="G1463" s="316"/>
      <c r="H1463" s="295" t="s">
        <v>5841</v>
      </c>
      <c r="I1463" s="162"/>
      <c r="J1463" s="396">
        <v>20</v>
      </c>
      <c r="K1463" s="73" t="s">
        <v>5842</v>
      </c>
      <c r="L1463" s="3" t="s">
        <v>3198</v>
      </c>
      <c r="M1463" s="397" t="s">
        <v>3484</v>
      </c>
      <c r="N1463" s="397" t="s">
        <v>3484</v>
      </c>
      <c r="P1463" s="316"/>
      <c r="Q1463" s="397" t="s">
        <v>3484</v>
      </c>
      <c r="R1463" s="397" t="s">
        <v>3484</v>
      </c>
      <c r="S1463" s="316" t="s">
        <v>5849</v>
      </c>
      <c r="T1463" s="316" t="s">
        <v>5904</v>
      </c>
      <c r="U1463" s="313" t="s">
        <v>5905</v>
      </c>
      <c r="V1463" s="313" t="s">
        <v>5905</v>
      </c>
      <c r="W1463" s="313" t="s">
        <v>5906</v>
      </c>
      <c r="X1463" s="313" t="s">
        <v>5906</v>
      </c>
      <c r="Y1463">
        <v>2018</v>
      </c>
      <c r="Z1463" s="1" t="s">
        <v>5903</v>
      </c>
      <c r="AB1463" t="s">
        <v>0</v>
      </c>
      <c r="AC1463" t="s">
        <v>5902</v>
      </c>
    </row>
    <row r="1464" spans="2:31" x14ac:dyDescent="0.35">
      <c r="D1464" s="386" t="s">
        <v>5482</v>
      </c>
      <c r="E1464" s="177"/>
      <c r="F1464" s="387">
        <v>0.22</v>
      </c>
      <c r="G1464" s="316"/>
      <c r="H1464" s="295" t="s">
        <v>5480</v>
      </c>
      <c r="I1464" s="531" t="s">
        <v>5484</v>
      </c>
      <c r="J1464" s="396" t="s">
        <v>5483</v>
      </c>
      <c r="K1464" s="73" t="s">
        <v>5485</v>
      </c>
      <c r="L1464" s="3" t="s">
        <v>3198</v>
      </c>
      <c r="M1464" s="397" t="s">
        <v>3484</v>
      </c>
      <c r="N1464" s="397" t="s">
        <v>3484</v>
      </c>
      <c r="Q1464" s="397" t="s">
        <v>3484</v>
      </c>
      <c r="R1464" s="397" t="s">
        <v>3484</v>
      </c>
      <c r="T1464" s="1"/>
      <c r="Z1464" s="1" t="s">
        <v>5481</v>
      </c>
      <c r="AB1464" t="s">
        <v>0</v>
      </c>
      <c r="AC1464" s="89"/>
    </row>
    <row r="1465" spans="2:31" x14ac:dyDescent="0.35">
      <c r="D1465" s="386" t="s">
        <v>5872</v>
      </c>
      <c r="E1465" s="177"/>
      <c r="F1465" s="387">
        <v>0.77</v>
      </c>
      <c r="G1465" s="316"/>
      <c r="H1465" s="295" t="s">
        <v>5672</v>
      </c>
      <c r="I1465" s="162"/>
      <c r="J1465" s="162">
        <v>35</v>
      </c>
      <c r="K1465" s="73" t="s">
        <v>5673</v>
      </c>
      <c r="L1465" s="3" t="s">
        <v>3198</v>
      </c>
      <c r="M1465" s="397" t="s">
        <v>3484</v>
      </c>
      <c r="N1465" s="397" t="s">
        <v>3484</v>
      </c>
      <c r="O1465" s="440" t="s">
        <v>3198</v>
      </c>
      <c r="P1465" s="316"/>
      <c r="T1465" s="1"/>
      <c r="Z1465" s="1" t="s">
        <v>5671</v>
      </c>
      <c r="AB1465" t="s">
        <v>0</v>
      </c>
      <c r="AC1465" s="89"/>
    </row>
    <row r="1466" spans="2:31" x14ac:dyDescent="0.35">
      <c r="C1466" s="558"/>
      <c r="D1466" s="386" t="s">
        <v>5847</v>
      </c>
      <c r="E1466" s="177"/>
      <c r="F1466" s="387">
        <v>0.38</v>
      </c>
      <c r="G1466" s="316"/>
      <c r="H1466" s="295" t="s">
        <v>5841</v>
      </c>
      <c r="I1466" s="531"/>
      <c r="J1466" s="162">
        <v>20</v>
      </c>
      <c r="K1466" s="73" t="s">
        <v>5842</v>
      </c>
      <c r="L1466" s="3" t="s">
        <v>3198</v>
      </c>
      <c r="M1466" s="397" t="s">
        <v>3484</v>
      </c>
      <c r="N1466" s="397" t="s">
        <v>3484</v>
      </c>
      <c r="Q1466" s="397" t="s">
        <v>3484</v>
      </c>
      <c r="R1466" s="397" t="s">
        <v>3484</v>
      </c>
      <c r="T1466" s="1"/>
      <c r="Y1466">
        <v>2019</v>
      </c>
      <c r="Z1466" s="1" t="s">
        <v>5840</v>
      </c>
      <c r="AB1466" t="s">
        <v>0</v>
      </c>
      <c r="AC1466" s="89"/>
    </row>
    <row r="1467" spans="2:31" x14ac:dyDescent="0.35">
      <c r="D1467" s="386" t="s">
        <v>5873</v>
      </c>
      <c r="E1467" s="177"/>
      <c r="F1467" s="387">
        <v>0.27</v>
      </c>
      <c r="G1467" s="316"/>
      <c r="I1467" s="162"/>
      <c r="J1467" s="162"/>
      <c r="K1467" s="73" t="s">
        <v>3637</v>
      </c>
      <c r="L1467" s="3" t="s">
        <v>3198</v>
      </c>
      <c r="M1467" s="397" t="s">
        <v>3484</v>
      </c>
      <c r="N1467" s="397" t="s">
        <v>3484</v>
      </c>
      <c r="Z1467" s="1"/>
      <c r="AE1467" s="315"/>
    </row>
    <row r="1468" spans="2:31" x14ac:dyDescent="0.35">
      <c r="D1468" s="386" t="s">
        <v>5846</v>
      </c>
      <c r="E1468" s="177"/>
      <c r="F1468" s="387">
        <v>0.45</v>
      </c>
      <c r="G1468" s="316"/>
      <c r="H1468" s="295" t="s">
        <v>5841</v>
      </c>
      <c r="I1468" s="162"/>
      <c r="J1468" s="162"/>
      <c r="K1468" s="73" t="s">
        <v>5844</v>
      </c>
      <c r="L1468" s="3" t="s">
        <v>3198</v>
      </c>
      <c r="M1468" s="397" t="s">
        <v>3484</v>
      </c>
      <c r="N1468" s="397" t="s">
        <v>3484</v>
      </c>
      <c r="Q1468" s="397" t="s">
        <v>3484</v>
      </c>
      <c r="R1468" s="397" t="s">
        <v>3484</v>
      </c>
      <c r="Y1468" s="1"/>
      <c r="Z1468" s="1" t="s">
        <v>5845</v>
      </c>
      <c r="AB1468" s="12" t="s">
        <v>0</v>
      </c>
      <c r="AC1468" t="s">
        <v>5843</v>
      </c>
    </row>
    <row r="1469" spans="2:31" x14ac:dyDescent="0.35">
      <c r="D1469" s="386"/>
      <c r="E1469" s="177"/>
      <c r="F1469" s="387"/>
      <c r="G1469" s="316"/>
      <c r="J1469" s="162"/>
      <c r="K1469" s="128"/>
      <c r="L1469" s="397"/>
      <c r="M1469" s="3"/>
      <c r="O1469" s="3"/>
      <c r="Q1469" s="1"/>
      <c r="Y1469" s="1"/>
      <c r="AB1469" s="12"/>
    </row>
    <row r="1470" spans="2:31" x14ac:dyDescent="0.35">
      <c r="D1470" s="755" t="s">
        <v>5809</v>
      </c>
      <c r="E1470" s="551" t="s">
        <v>5900</v>
      </c>
      <c r="F1470" s="387"/>
      <c r="G1470" s="316"/>
      <c r="H1470" s="295"/>
      <c r="I1470" s="1"/>
      <c r="J1470" s="162"/>
      <c r="K1470" s="128"/>
      <c r="L1470" s="397"/>
      <c r="M1470" s="3"/>
      <c r="O1470" s="1" t="s">
        <v>5899</v>
      </c>
      <c r="Q1470" s="1" t="s">
        <v>0</v>
      </c>
      <c r="Y1470" s="1"/>
      <c r="AB1470" s="12"/>
    </row>
    <row r="1471" spans="2:31" x14ac:dyDescent="0.35">
      <c r="E1471" s="551" t="s">
        <v>5637</v>
      </c>
      <c r="G1471" s="316"/>
      <c r="H1471" s="295"/>
      <c r="I1471" s="162"/>
      <c r="J1471" s="73"/>
      <c r="K1471" s="397"/>
      <c r="M1471" s="3"/>
      <c r="O1471" s="3"/>
      <c r="Q1471" s="1"/>
      <c r="W1471" s="1"/>
      <c r="X1471" s="315" t="s">
        <v>5634</v>
      </c>
      <c r="Y1471" s="89"/>
      <c r="Z1471" s="1" t="s">
        <v>5635</v>
      </c>
      <c r="AB1471" t="s">
        <v>0</v>
      </c>
    </row>
    <row r="1472" spans="2:31" x14ac:dyDescent="0.35">
      <c r="E1472" s="386" t="s">
        <v>5642</v>
      </c>
      <c r="F1472" s="387"/>
      <c r="G1472" s="316"/>
      <c r="J1472" s="73"/>
      <c r="K1472" s="316"/>
      <c r="M1472" s="3"/>
      <c r="O1472" s="1" t="s">
        <v>5636</v>
      </c>
      <c r="Q1472" s="1" t="s">
        <v>0</v>
      </c>
      <c r="W1472" s="1"/>
      <c r="Z1472" s="12"/>
      <c r="AA1472" s="315"/>
      <c r="AB1472" s="89"/>
    </row>
    <row r="1473" spans="2:30" x14ac:dyDescent="0.35">
      <c r="E1473" s="314" t="s">
        <v>5670</v>
      </c>
      <c r="F1473" s="316"/>
      <c r="J1473" s="73"/>
      <c r="K1473" s="316"/>
      <c r="M1473" s="3"/>
      <c r="N1473" s="3"/>
      <c r="O1473" s="1" t="s">
        <v>5669</v>
      </c>
      <c r="Q1473" s="1" t="s">
        <v>0</v>
      </c>
      <c r="W1473" s="1"/>
      <c r="Z1473" s="12"/>
      <c r="AA1473" s="315"/>
      <c r="AB1473" s="89"/>
    </row>
    <row r="1474" spans="2:30" x14ac:dyDescent="0.35">
      <c r="E1474" s="386" t="s">
        <v>5883</v>
      </c>
      <c r="F1474" s="387"/>
      <c r="G1474" s="316"/>
      <c r="J1474" s="1"/>
      <c r="K1474" s="73"/>
      <c r="L1474" s="316"/>
      <c r="M1474" s="3"/>
      <c r="N1474" s="3"/>
      <c r="Q1474" s="1"/>
      <c r="W1474" s="1"/>
      <c r="Z1474" s="12"/>
      <c r="AA1474" s="315"/>
      <c r="AB1474" s="89"/>
    </row>
    <row r="1475" spans="2:30" x14ac:dyDescent="0.35">
      <c r="E1475" s="386" t="s">
        <v>5836</v>
      </c>
      <c r="F1475" s="387"/>
      <c r="G1475" s="316"/>
      <c r="J1475" s="1"/>
      <c r="K1475" s="73"/>
      <c r="L1475" s="316"/>
      <c r="M1475" s="3"/>
      <c r="N1475" s="3"/>
      <c r="O1475" s="1" t="s">
        <v>5835</v>
      </c>
      <c r="Q1475" s="1" t="s">
        <v>0</v>
      </c>
      <c r="W1475" s="1"/>
      <c r="Z1475" s="12"/>
      <c r="AA1475" s="315"/>
      <c r="AB1475" s="89"/>
    </row>
    <row r="1476" spans="2:30" x14ac:dyDescent="0.35">
      <c r="E1476" s="386" t="s">
        <v>5837</v>
      </c>
      <c r="F1476" s="387"/>
      <c r="G1476" s="316"/>
      <c r="J1476" s="1"/>
      <c r="K1476" s="73"/>
      <c r="L1476" s="316"/>
      <c r="M1476" s="3"/>
      <c r="N1476" s="3"/>
      <c r="O1476" s="1"/>
      <c r="Q1476" s="1"/>
      <c r="W1476" s="1"/>
      <c r="Z1476" s="12"/>
      <c r="AA1476" s="315"/>
      <c r="AB1476" s="89"/>
    </row>
    <row r="1477" spans="2:30" x14ac:dyDescent="0.35">
      <c r="E1477" s="386" t="s">
        <v>5838</v>
      </c>
      <c r="F1477" s="387"/>
      <c r="G1477" s="316"/>
      <c r="J1477" s="1"/>
      <c r="K1477" s="73"/>
      <c r="L1477" s="316"/>
      <c r="M1477" s="3"/>
      <c r="N1477" s="3"/>
      <c r="O1477" s="1"/>
      <c r="Q1477" s="1"/>
      <c r="W1477" s="1"/>
      <c r="Z1477" s="12"/>
      <c r="AA1477" s="315"/>
      <c r="AB1477" s="89"/>
    </row>
    <row r="1478" spans="2:30" x14ac:dyDescent="0.35">
      <c r="E1478" s="386" t="s">
        <v>5856</v>
      </c>
      <c r="F1478" s="387"/>
      <c r="G1478" s="316"/>
      <c r="J1478" s="1"/>
      <c r="K1478" s="73"/>
      <c r="L1478" s="316"/>
      <c r="M1478" s="3"/>
      <c r="N1478" s="3"/>
      <c r="O1478" s="1"/>
      <c r="Q1478" s="1"/>
      <c r="W1478" s="1"/>
      <c r="Z1478" s="12"/>
      <c r="AA1478" s="315"/>
      <c r="AB1478" s="89"/>
    </row>
    <row r="1479" spans="2:30" x14ac:dyDescent="0.35">
      <c r="D1479" s="386"/>
      <c r="E1479" s="177"/>
      <c r="F1479" s="387"/>
      <c r="G1479" s="316"/>
      <c r="I1479" s="1"/>
      <c r="J1479" s="1"/>
      <c r="K1479" s="73"/>
      <c r="L1479" s="316"/>
      <c r="M1479" s="3"/>
      <c r="N1479" s="3"/>
      <c r="O1479" s="393"/>
      <c r="Q1479" s="1"/>
      <c r="W1479" s="1"/>
      <c r="Z1479" s="12"/>
      <c r="AA1479" s="315"/>
      <c r="AB1479" s="89"/>
    </row>
    <row r="1480" spans="2:30" x14ac:dyDescent="0.35">
      <c r="B1480" s="83" t="s">
        <v>3465</v>
      </c>
      <c r="D1480" s="386"/>
      <c r="F1480" s="387"/>
      <c r="G1480" s="316"/>
      <c r="I1480" s="312"/>
      <c r="J1480" s="312"/>
      <c r="K1480" s="318"/>
      <c r="L1480" s="318"/>
      <c r="M1480" s="318"/>
      <c r="N1480" s="318"/>
      <c r="O1480" s="318"/>
      <c r="P1480" s="155"/>
      <c r="Q1480" s="367"/>
      <c r="U1480" s="162"/>
      <c r="Z1480" s="12"/>
      <c r="AA1480" s="315"/>
      <c r="AB1480" s="89"/>
    </row>
    <row r="1481" spans="2:30" x14ac:dyDescent="0.35">
      <c r="D1481" s="123" t="s">
        <v>2956</v>
      </c>
      <c r="F1481" s="123" t="s">
        <v>620</v>
      </c>
      <c r="G1481" s="316"/>
      <c r="I1481" s="162"/>
      <c r="J1481" s="162"/>
      <c r="K1481" s="73"/>
      <c r="L1481" s="313"/>
      <c r="M1481" s="73"/>
      <c r="N1481" s="73"/>
      <c r="O1481" s="313"/>
      <c r="Q1481" s="123" t="s">
        <v>2961</v>
      </c>
      <c r="R1481" s="4"/>
      <c r="U1481" s="162"/>
      <c r="Z1481" s="12"/>
      <c r="AA1481" s="315"/>
      <c r="AB1481" s="89"/>
    </row>
    <row r="1482" spans="2:30" x14ac:dyDescent="0.35">
      <c r="C1482" s="351"/>
      <c r="D1482" s="386" t="s">
        <v>3451</v>
      </c>
      <c r="E1482" s="177"/>
      <c r="F1482" s="387">
        <v>0.42</v>
      </c>
      <c r="G1482" s="316"/>
      <c r="H1482" t="s">
        <v>3455</v>
      </c>
      <c r="I1482" s="162"/>
      <c r="J1482" s="162"/>
      <c r="K1482" s="73"/>
      <c r="L1482" s="313"/>
      <c r="M1482" s="73"/>
      <c r="N1482" s="73"/>
      <c r="O1482" s="313"/>
      <c r="Q1482" s="1" t="s">
        <v>3450</v>
      </c>
      <c r="S1482" t="s">
        <v>0</v>
      </c>
      <c r="U1482" s="162"/>
      <c r="Z1482" s="12"/>
      <c r="AA1482" s="315"/>
      <c r="AB1482" s="89"/>
    </row>
    <row r="1483" spans="2:30" x14ac:dyDescent="0.35">
      <c r="D1483" s="386"/>
      <c r="E1483" s="177"/>
      <c r="F1483" s="387"/>
      <c r="G1483" s="316"/>
      <c r="I1483" s="162"/>
      <c r="J1483" s="162"/>
      <c r="K1483" s="73"/>
      <c r="L1483" s="313"/>
      <c r="M1483" s="73"/>
      <c r="N1483" s="73"/>
      <c r="O1483" s="313"/>
      <c r="Q1483" s="1"/>
      <c r="U1483" s="162"/>
      <c r="Z1483" s="12"/>
      <c r="AA1483" s="315"/>
      <c r="AB1483" s="89"/>
    </row>
    <row r="1484" spans="2:30" ht="24.5" x14ac:dyDescent="0.35">
      <c r="B1484" s="83" t="s">
        <v>4205</v>
      </c>
      <c r="C1484" s="351"/>
      <c r="D1484" s="123" t="s">
        <v>2956</v>
      </c>
      <c r="F1484" s="123" t="s">
        <v>620</v>
      </c>
      <c r="G1484" s="123" t="s">
        <v>2978</v>
      </c>
      <c r="I1484" s="123" t="s">
        <v>4206</v>
      </c>
      <c r="J1484" s="123" t="s">
        <v>4209</v>
      </c>
      <c r="K1484" s="123" t="s">
        <v>4210</v>
      </c>
      <c r="L1484" s="123" t="s">
        <v>4811</v>
      </c>
      <c r="M1484" s="123" t="s">
        <v>4812</v>
      </c>
      <c r="N1484" s="123" t="s">
        <v>4228</v>
      </c>
      <c r="Q1484" s="73"/>
      <c r="R1484" s="123" t="s">
        <v>2961</v>
      </c>
      <c r="S1484" s="4"/>
      <c r="W1484" s="162"/>
      <c r="AA1484" s="13"/>
      <c r="AB1484" s="10"/>
      <c r="AC1484" s="315"/>
      <c r="AD1484" s="89"/>
    </row>
    <row r="1485" spans="2:30" x14ac:dyDescent="0.35">
      <c r="C1485" s="351" t="s">
        <v>3063</v>
      </c>
      <c r="D1485" s="383" t="s">
        <v>4803</v>
      </c>
      <c r="F1485" s="100">
        <v>0.03</v>
      </c>
      <c r="G1485" s="316" t="s">
        <v>4051</v>
      </c>
      <c r="I1485" s="316" t="s">
        <v>4208</v>
      </c>
      <c r="J1485" s="492">
        <v>160</v>
      </c>
      <c r="K1485" s="73">
        <v>80</v>
      </c>
      <c r="L1485" s="295"/>
      <c r="M1485" s="295"/>
      <c r="N1485" s="295" t="s">
        <v>7968</v>
      </c>
      <c r="Q1485" s="73"/>
      <c r="R1485" s="1" t="s">
        <v>4207</v>
      </c>
      <c r="T1485" t="s">
        <v>0</v>
      </c>
      <c r="U1485" t="s">
        <v>4211</v>
      </c>
      <c r="V1485" s="1" t="s">
        <v>4212</v>
      </c>
      <c r="W1485" s="162" t="s">
        <v>0</v>
      </c>
      <c r="AA1485" s="13"/>
      <c r="AB1485" s="10"/>
      <c r="AC1485" s="315"/>
      <c r="AD1485" s="89"/>
    </row>
    <row r="1486" spans="2:30" x14ac:dyDescent="0.35">
      <c r="D1486" s="383" t="s">
        <v>4802</v>
      </c>
      <c r="F1486" s="100">
        <v>0.08</v>
      </c>
      <c r="G1486" s="316" t="s">
        <v>4804</v>
      </c>
      <c r="I1486" s="316" t="s">
        <v>4806</v>
      </c>
      <c r="J1486" s="128" t="s">
        <v>4805</v>
      </c>
      <c r="K1486" s="73"/>
      <c r="L1486" s="295"/>
      <c r="M1486" s="295"/>
      <c r="N1486" s="295"/>
      <c r="Q1486" s="73"/>
      <c r="R1486" s="1" t="s">
        <v>4801</v>
      </c>
      <c r="T1486" s="73" t="s">
        <v>0</v>
      </c>
      <c r="V1486" s="1"/>
      <c r="W1486" s="162"/>
      <c r="AA1486" s="13"/>
      <c r="AB1486" s="10"/>
      <c r="AC1486" s="315"/>
      <c r="AD1486" s="89"/>
    </row>
    <row r="1487" spans="2:30" x14ac:dyDescent="0.35">
      <c r="C1487" s="351" t="s">
        <v>3063</v>
      </c>
      <c r="D1487" s="383" t="s">
        <v>4808</v>
      </c>
      <c r="F1487" s="100">
        <v>0.04</v>
      </c>
      <c r="G1487" s="316" t="s">
        <v>4804</v>
      </c>
      <c r="I1487" s="316" t="s">
        <v>4806</v>
      </c>
      <c r="J1487" s="492">
        <v>50</v>
      </c>
      <c r="K1487" s="314" t="s">
        <v>4809</v>
      </c>
      <c r="L1487" s="313" t="s">
        <v>4810</v>
      </c>
      <c r="M1487" s="313" t="s">
        <v>4813</v>
      </c>
      <c r="N1487" s="295" t="s">
        <v>7966</v>
      </c>
      <c r="Q1487" s="73"/>
      <c r="R1487" s="1" t="s">
        <v>4807</v>
      </c>
      <c r="T1487" s="73" t="s">
        <v>0</v>
      </c>
      <c r="V1487" s="1"/>
      <c r="W1487" s="162"/>
      <c r="AA1487" s="13"/>
      <c r="AB1487" s="10"/>
      <c r="AC1487" s="315"/>
      <c r="AD1487" s="89"/>
    </row>
    <row r="1488" spans="2:30" x14ac:dyDescent="0.35">
      <c r="D1488" s="295" t="s">
        <v>4769</v>
      </c>
      <c r="F1488" s="100">
        <v>0.03</v>
      </c>
      <c r="G1488" s="316" t="s">
        <v>4051</v>
      </c>
      <c r="I1488" s="316" t="s">
        <v>4770</v>
      </c>
      <c r="J1488" s="73">
        <v>300</v>
      </c>
      <c r="K1488" s="314" t="s">
        <v>8795</v>
      </c>
      <c r="L1488" s="295"/>
      <c r="M1488" s="295"/>
      <c r="N1488" s="295" t="s">
        <v>7967</v>
      </c>
      <c r="Q1488" s="73"/>
      <c r="R1488" s="1" t="s">
        <v>4768</v>
      </c>
      <c r="T1488" s="73" t="s">
        <v>0</v>
      </c>
      <c r="V1488" s="1"/>
      <c r="W1488" s="162"/>
      <c r="AA1488" s="13"/>
      <c r="AB1488" s="10"/>
      <c r="AC1488" s="315"/>
      <c r="AD1488" s="89"/>
    </row>
    <row r="1489" spans="2:30" x14ac:dyDescent="0.35">
      <c r="D1489" s="295" t="s">
        <v>4772</v>
      </c>
      <c r="F1489" s="100">
        <v>1.6E-2</v>
      </c>
      <c r="G1489" s="316" t="s">
        <v>4051</v>
      </c>
      <c r="I1489" s="316" t="s">
        <v>4800</v>
      </c>
      <c r="J1489" s="73">
        <v>30</v>
      </c>
      <c r="K1489" s="314" t="s">
        <v>4773</v>
      </c>
      <c r="L1489" s="295"/>
      <c r="M1489" s="295"/>
      <c r="N1489" s="295"/>
      <c r="Q1489" s="73"/>
      <c r="R1489" s="1" t="s">
        <v>4771</v>
      </c>
      <c r="T1489" s="73" t="s">
        <v>0</v>
      </c>
      <c r="V1489" s="1"/>
      <c r="W1489" s="162"/>
      <c r="AA1489" s="13"/>
      <c r="AB1489" s="10"/>
      <c r="AC1489" s="315"/>
      <c r="AD1489" s="89"/>
    </row>
    <row r="1490" spans="2:30" x14ac:dyDescent="0.35">
      <c r="D1490" s="295" t="s">
        <v>8792</v>
      </c>
      <c r="F1490" s="100">
        <v>1.7000000000000001E-2</v>
      </c>
      <c r="G1490" s="316" t="s">
        <v>4051</v>
      </c>
      <c r="I1490" s="316" t="s">
        <v>4770</v>
      </c>
      <c r="J1490" s="73">
        <v>65</v>
      </c>
      <c r="K1490" s="314" t="s">
        <v>8794</v>
      </c>
      <c r="L1490" s="295"/>
      <c r="M1490" s="295"/>
      <c r="N1490" s="295" t="s">
        <v>8793</v>
      </c>
      <c r="Q1490" s="73"/>
      <c r="R1490" s="1" t="s">
        <v>8791</v>
      </c>
      <c r="T1490" s="73" t="s">
        <v>0</v>
      </c>
      <c r="V1490" s="1"/>
      <c r="W1490" s="162"/>
      <c r="AA1490" s="13"/>
      <c r="AB1490" s="10"/>
      <c r="AC1490" s="315"/>
      <c r="AD1490" s="89"/>
    </row>
    <row r="1491" spans="2:30" x14ac:dyDescent="0.35">
      <c r="D1491" s="295"/>
      <c r="F1491" s="100"/>
      <c r="G1491" s="316"/>
      <c r="I1491" s="316"/>
      <c r="J1491" s="73"/>
      <c r="K1491" s="313"/>
      <c r="L1491" s="295"/>
      <c r="M1491" s="295"/>
      <c r="N1491" s="295"/>
      <c r="Q1491" s="73"/>
      <c r="R1491" s="1"/>
      <c r="T1491" s="73"/>
      <c r="V1491" s="1"/>
      <c r="W1491" s="162"/>
      <c r="AA1491" s="13"/>
      <c r="AB1491" s="10"/>
      <c r="AC1491" s="315"/>
      <c r="AD1491" s="89"/>
    </row>
    <row r="1492" spans="2:30" ht="24" customHeight="1" x14ac:dyDescent="0.35">
      <c r="B1492" s="83" t="s">
        <v>5647</v>
      </c>
      <c r="D1492" s="123" t="s">
        <v>2956</v>
      </c>
      <c r="F1492" s="123" t="s">
        <v>620</v>
      </c>
      <c r="G1492" s="123" t="s">
        <v>5648</v>
      </c>
      <c r="H1492" s="123" t="s">
        <v>5659</v>
      </c>
      <c r="I1492" s="123" t="s">
        <v>5661</v>
      </c>
      <c r="J1492" s="123" t="s">
        <v>5665</v>
      </c>
      <c r="K1492" s="123" t="s">
        <v>5655</v>
      </c>
      <c r="L1492" s="123" t="s">
        <v>5656</v>
      </c>
      <c r="M1492" s="123" t="s">
        <v>5657</v>
      </c>
      <c r="N1492" s="123" t="s">
        <v>5658</v>
      </c>
      <c r="O1492" s="123" t="s">
        <v>5667</v>
      </c>
      <c r="Q1492" s="73"/>
      <c r="R1492" s="123" t="s">
        <v>2961</v>
      </c>
      <c r="S1492" s="4"/>
      <c r="T1492" s="73"/>
      <c r="V1492" s="1"/>
      <c r="W1492" s="162"/>
      <c r="AA1492" s="13"/>
      <c r="AB1492" s="10"/>
      <c r="AC1492" s="315"/>
      <c r="AD1492" s="89"/>
    </row>
    <row r="1493" spans="2:30" x14ac:dyDescent="0.35">
      <c r="D1493" s="295" t="s">
        <v>5649</v>
      </c>
      <c r="F1493" s="336">
        <v>0.15</v>
      </c>
      <c r="G1493" s="316" t="s">
        <v>5651</v>
      </c>
      <c r="I1493" s="316" t="s">
        <v>5663</v>
      </c>
      <c r="J1493" s="553" t="s">
        <v>5668</v>
      </c>
      <c r="K1493" s="325"/>
      <c r="L1493" s="318"/>
      <c r="M1493" s="318"/>
      <c r="N1493" s="155"/>
      <c r="O1493" s="318">
        <v>1998</v>
      </c>
      <c r="P1493" s="155"/>
      <c r="Q1493" s="318"/>
      <c r="R1493" s="1" t="s">
        <v>5650</v>
      </c>
      <c r="T1493" s="73" t="s">
        <v>0</v>
      </c>
      <c r="V1493" s="1"/>
      <c r="W1493" s="162"/>
      <c r="AA1493" s="13"/>
      <c r="AB1493" s="10"/>
      <c r="AC1493" s="315"/>
      <c r="AD1493" s="89"/>
    </row>
    <row r="1494" spans="2:30" x14ac:dyDescent="0.35">
      <c r="D1494" s="295" t="s">
        <v>5666</v>
      </c>
      <c r="F1494" s="336">
        <v>0.13</v>
      </c>
      <c r="G1494" s="316" t="s">
        <v>5654</v>
      </c>
      <c r="H1494" s="316" t="s">
        <v>5660</v>
      </c>
      <c r="I1494" s="316" t="s">
        <v>5662</v>
      </c>
      <c r="J1494" s="128">
        <v>0.6</v>
      </c>
      <c r="K1494" s="325">
        <v>1</v>
      </c>
      <c r="L1494" s="325">
        <v>1</v>
      </c>
      <c r="M1494" s="318">
        <v>400</v>
      </c>
      <c r="N1494" s="155">
        <v>200</v>
      </c>
      <c r="O1494" s="318">
        <v>1998</v>
      </c>
      <c r="P1494" s="367"/>
      <c r="Q1494" s="155"/>
      <c r="R1494" s="1" t="s">
        <v>5664</v>
      </c>
      <c r="T1494" s="1" t="s">
        <v>0</v>
      </c>
      <c r="U1494" s="162"/>
      <c r="Y1494" s="13"/>
      <c r="Z1494" s="10"/>
      <c r="AA1494" s="315"/>
      <c r="AB1494" s="89"/>
    </row>
    <row r="1495" spans="2:30" x14ac:dyDescent="0.35">
      <c r="D1495" s="295" t="s">
        <v>5653</v>
      </c>
      <c r="F1495" s="336">
        <v>0.15</v>
      </c>
      <c r="G1495" s="316" t="s">
        <v>5654</v>
      </c>
      <c r="H1495" s="316" t="s">
        <v>5660</v>
      </c>
      <c r="I1495" s="316" t="s">
        <v>5662</v>
      </c>
      <c r="J1495" s="128">
        <v>0.6</v>
      </c>
      <c r="K1495" s="325">
        <v>0.4</v>
      </c>
      <c r="L1495" s="325">
        <v>8</v>
      </c>
      <c r="M1495" s="318">
        <v>150</v>
      </c>
      <c r="N1495" s="155">
        <v>50</v>
      </c>
      <c r="O1495" s="318">
        <v>2016</v>
      </c>
      <c r="P1495" s="367"/>
      <c r="Q1495" s="155"/>
      <c r="R1495" s="1" t="s">
        <v>5652</v>
      </c>
      <c r="T1495" s="1" t="s">
        <v>0</v>
      </c>
      <c r="U1495" s="162"/>
      <c r="Y1495" s="13"/>
      <c r="Z1495" s="10"/>
      <c r="AA1495" s="315"/>
      <c r="AB1495" s="89"/>
    </row>
    <row r="1496" spans="2:30" x14ac:dyDescent="0.35">
      <c r="D1496" s="295"/>
      <c r="F1496" s="8"/>
      <c r="G1496" s="316"/>
      <c r="I1496" s="318"/>
      <c r="J1496" s="318"/>
      <c r="K1496" s="318"/>
      <c r="L1496" s="155"/>
      <c r="M1496" s="155"/>
      <c r="N1496" s="155"/>
      <c r="O1496" s="318"/>
      <c r="P1496" s="367"/>
      <c r="Q1496" s="155"/>
      <c r="R1496" s="1"/>
      <c r="T1496" s="1"/>
      <c r="U1496" s="162"/>
      <c r="Y1496" s="13"/>
      <c r="Z1496" s="10"/>
      <c r="AA1496" s="315"/>
      <c r="AB1496" s="89"/>
    </row>
    <row r="1497" spans="2:30" x14ac:dyDescent="0.35">
      <c r="B1497" s="83" t="s">
        <v>4746</v>
      </c>
      <c r="D1497" s="123" t="s">
        <v>2956</v>
      </c>
      <c r="F1497" s="123" t="s">
        <v>620</v>
      </c>
      <c r="G1497" s="316"/>
      <c r="I1497" s="162"/>
      <c r="J1497" s="162"/>
      <c r="K1497" s="73"/>
      <c r="L1497" s="313"/>
      <c r="M1497" s="73"/>
      <c r="N1497" s="73"/>
      <c r="O1497" s="313"/>
      <c r="Q1497" s="123" t="s">
        <v>2961</v>
      </c>
      <c r="R1497" s="4"/>
      <c r="U1497" s="162"/>
      <c r="Z1497" s="12"/>
      <c r="AA1497" s="315"/>
      <c r="AB1497" s="89"/>
    </row>
    <row r="1498" spans="2:30" x14ac:dyDescent="0.35">
      <c r="D1498" s="386" t="s">
        <v>4747</v>
      </c>
      <c r="E1498" s="177"/>
      <c r="F1498" s="487">
        <v>0.14000000000000001</v>
      </c>
      <c r="G1498" s="316"/>
      <c r="H1498" t="s">
        <v>4758</v>
      </c>
      <c r="I1498" s="162"/>
      <c r="J1498" s="162"/>
      <c r="K1498" s="73"/>
      <c r="L1498" s="313"/>
      <c r="M1498" s="73"/>
      <c r="N1498" s="73"/>
      <c r="O1498" s="313" t="s">
        <v>4759</v>
      </c>
      <c r="Q1498" s="1" t="s">
        <v>4748</v>
      </c>
      <c r="S1498" t="s">
        <v>0</v>
      </c>
      <c r="T1498" t="s">
        <v>4757</v>
      </c>
      <c r="U1498" s="1" t="s">
        <v>4756</v>
      </c>
      <c r="V1498" s="162"/>
      <c r="W1498" t="s">
        <v>0</v>
      </c>
      <c r="AA1498" s="315"/>
      <c r="AB1498" s="89"/>
    </row>
    <row r="1499" spans="2:30" x14ac:dyDescent="0.35">
      <c r="C1499" s="351" t="s">
        <v>3063</v>
      </c>
      <c r="D1499" s="386" t="s">
        <v>4766</v>
      </c>
      <c r="E1499" s="177"/>
      <c r="F1499" s="487">
        <v>0.21</v>
      </c>
      <c r="G1499" s="316"/>
      <c r="H1499" t="s">
        <v>7973</v>
      </c>
      <c r="I1499" s="162"/>
      <c r="J1499" s="162"/>
      <c r="K1499" s="73"/>
      <c r="L1499" s="313"/>
      <c r="M1499" s="73"/>
      <c r="N1499" s="73"/>
      <c r="O1499" s="313"/>
      <c r="Q1499" s="1" t="s">
        <v>7970</v>
      </c>
      <c r="S1499" t="s">
        <v>0</v>
      </c>
      <c r="U1499" s="1"/>
      <c r="V1499" s="162"/>
      <c r="AA1499" s="315"/>
      <c r="AB1499" s="89"/>
    </row>
    <row r="1500" spans="2:30" x14ac:dyDescent="0.35">
      <c r="D1500" s="490" t="s">
        <v>4767</v>
      </c>
      <c r="E1500" s="177"/>
      <c r="F1500" s="487"/>
      <c r="G1500" s="316"/>
      <c r="I1500" s="162"/>
      <c r="J1500" s="162"/>
      <c r="K1500" s="73"/>
      <c r="L1500" s="313"/>
      <c r="N1500" s="73"/>
      <c r="O1500" s="313"/>
      <c r="Q1500" s="1" t="s">
        <v>4760</v>
      </c>
      <c r="S1500" s="162" t="s">
        <v>0</v>
      </c>
      <c r="T1500" t="s">
        <v>4761</v>
      </c>
      <c r="U1500" s="1" t="s">
        <v>4762</v>
      </c>
      <c r="W1500" t="s">
        <v>0</v>
      </c>
      <c r="Y1500" t="s">
        <v>0</v>
      </c>
      <c r="AA1500" s="315"/>
      <c r="AB1500" s="89"/>
    </row>
    <row r="1501" spans="2:30" x14ac:dyDescent="0.35">
      <c r="D1501" s="386"/>
      <c r="E1501" s="177"/>
      <c r="F1501" s="487"/>
      <c r="G1501" s="316"/>
      <c r="I1501" s="162"/>
      <c r="J1501" s="162"/>
      <c r="K1501" s="73"/>
      <c r="N1501" s="73"/>
      <c r="O1501" s="313"/>
      <c r="Q1501" s="1"/>
      <c r="V1501" s="162"/>
      <c r="AA1501" s="315"/>
      <c r="AB1501" s="89"/>
    </row>
    <row r="1502" spans="2:30" ht="24.5" x14ac:dyDescent="0.35">
      <c r="B1502" s="83" t="s">
        <v>3641</v>
      </c>
      <c r="D1502" s="123" t="s">
        <v>2956</v>
      </c>
      <c r="E1502" s="177"/>
      <c r="F1502" s="123" t="s">
        <v>620</v>
      </c>
      <c r="G1502" s="123" t="s">
        <v>4710</v>
      </c>
      <c r="H1502" s="123" t="s">
        <v>4715</v>
      </c>
      <c r="I1502" s="123" t="s">
        <v>3649</v>
      </c>
      <c r="J1502" s="123" t="s">
        <v>3644</v>
      </c>
      <c r="K1502" s="123" t="s">
        <v>4712</v>
      </c>
      <c r="L1502" s="123" t="s">
        <v>3645</v>
      </c>
      <c r="N1502" s="123" t="s">
        <v>3647</v>
      </c>
      <c r="O1502" s="73"/>
      <c r="P1502" s="123" t="s">
        <v>2970</v>
      </c>
      <c r="Q1502" s="123" t="s">
        <v>6433</v>
      </c>
      <c r="R1502" s="123" t="s">
        <v>4713</v>
      </c>
      <c r="S1502" s="123" t="s">
        <v>4228</v>
      </c>
      <c r="T1502" s="123" t="s">
        <v>2961</v>
      </c>
      <c r="Z1502" s="12"/>
      <c r="AA1502" s="315"/>
      <c r="AB1502" s="89"/>
    </row>
    <row r="1503" spans="2:30" x14ac:dyDescent="0.35">
      <c r="D1503" s="386" t="s">
        <v>5473</v>
      </c>
      <c r="E1503" s="177"/>
      <c r="F1503" s="387">
        <v>0.33</v>
      </c>
      <c r="G1503" s="316"/>
      <c r="J1503" s="162">
        <v>4</v>
      </c>
      <c r="K1503" s="482">
        <v>80</v>
      </c>
      <c r="L1503" s="316" t="s">
        <v>3646</v>
      </c>
      <c r="N1503" s="316" t="s">
        <v>3648</v>
      </c>
      <c r="O1503" s="73"/>
      <c r="P1503" s="313" t="s">
        <v>3643</v>
      </c>
      <c r="T1503" s="1" t="s">
        <v>3642</v>
      </c>
      <c r="V1503" t="s">
        <v>0</v>
      </c>
      <c r="Z1503" s="12"/>
      <c r="AA1503" s="315"/>
      <c r="AB1503" s="89"/>
    </row>
    <row r="1504" spans="2:30" x14ac:dyDescent="0.35">
      <c r="D1504" s="386" t="s">
        <v>3650</v>
      </c>
      <c r="E1504" s="177"/>
      <c r="F1504" s="387">
        <v>0.13</v>
      </c>
      <c r="G1504" s="313" t="s">
        <v>4711</v>
      </c>
      <c r="I1504">
        <v>7</v>
      </c>
      <c r="J1504" s="396" t="s">
        <v>3656</v>
      </c>
      <c r="K1504" s="394" t="s">
        <v>3653</v>
      </c>
      <c r="L1504" s="316" t="s">
        <v>3651</v>
      </c>
      <c r="M1504" s="313"/>
      <c r="N1504" s="316" t="s">
        <v>3654</v>
      </c>
      <c r="O1504" s="73"/>
      <c r="P1504" s="313" t="s">
        <v>3652</v>
      </c>
      <c r="Q1504">
        <v>100</v>
      </c>
      <c r="T1504" s="1" t="s">
        <v>3655</v>
      </c>
      <c r="V1504" t="s">
        <v>0</v>
      </c>
      <c r="Z1504" s="12"/>
      <c r="AA1504" s="315"/>
      <c r="AB1504" s="89"/>
    </row>
    <row r="1505" spans="2:28" x14ac:dyDescent="0.35">
      <c r="D1505" s="386" t="s">
        <v>6463</v>
      </c>
      <c r="E1505" s="177"/>
      <c r="F1505" s="387">
        <v>0.14000000000000001</v>
      </c>
      <c r="G1505" s="313" t="s">
        <v>4717</v>
      </c>
      <c r="H1505" s="483" t="s">
        <v>4716</v>
      </c>
      <c r="I1505" s="394" t="s">
        <v>6431</v>
      </c>
      <c r="J1505" s="396" t="s">
        <v>3656</v>
      </c>
      <c r="K1505" s="394" t="s">
        <v>6432</v>
      </c>
      <c r="L1505" s="316" t="s">
        <v>6460</v>
      </c>
      <c r="M1505" s="316"/>
      <c r="N1505" s="316" t="s">
        <v>4714</v>
      </c>
      <c r="O1505" s="313"/>
      <c r="P1505" s="313" t="s">
        <v>3643</v>
      </c>
      <c r="Q1505" s="663" t="s">
        <v>6434</v>
      </c>
      <c r="R1505">
        <v>2014</v>
      </c>
      <c r="S1505" t="s">
        <v>8005</v>
      </c>
      <c r="T1505" s="1" t="s">
        <v>6462</v>
      </c>
      <c r="U1505" s="162"/>
      <c r="V1505" t="s">
        <v>0</v>
      </c>
      <c r="W1505" s="315" t="s">
        <v>6461</v>
      </c>
      <c r="Z1505" s="12"/>
      <c r="AB1505" s="89"/>
    </row>
    <row r="1506" spans="2:28" x14ac:dyDescent="0.35">
      <c r="D1506" s="386" t="s">
        <v>6437</v>
      </c>
      <c r="E1506" s="177"/>
      <c r="F1506" s="387">
        <v>0.11</v>
      </c>
      <c r="G1506" s="313" t="s">
        <v>5474</v>
      </c>
      <c r="H1506" s="394" t="s">
        <v>3919</v>
      </c>
      <c r="I1506" s="394" t="s">
        <v>3919</v>
      </c>
      <c r="J1506" s="396"/>
      <c r="K1506" s="394" t="s">
        <v>3919</v>
      </c>
      <c r="L1506" s="316"/>
      <c r="M1506" s="316"/>
      <c r="N1506" s="316"/>
      <c r="O1506" s="313"/>
      <c r="P1506" s="394" t="s">
        <v>3919</v>
      </c>
      <c r="Q1506" s="663"/>
      <c r="T1506" s="1" t="s">
        <v>6438</v>
      </c>
      <c r="U1506" s="162"/>
      <c r="V1506" t="s">
        <v>0</v>
      </c>
      <c r="Z1506" s="12"/>
      <c r="AA1506" s="315"/>
      <c r="AB1506" s="89"/>
    </row>
    <row r="1507" spans="2:28" x14ac:dyDescent="0.35">
      <c r="C1507" s="351" t="s">
        <v>3063</v>
      </c>
      <c r="D1507" s="386" t="s">
        <v>5476</v>
      </c>
      <c r="E1507" s="177"/>
      <c r="F1507" s="387">
        <v>0.1</v>
      </c>
      <c r="G1507" s="313" t="s">
        <v>4711</v>
      </c>
      <c r="H1507" s="394" t="s">
        <v>3919</v>
      </c>
      <c r="I1507" s="394" t="s">
        <v>3919</v>
      </c>
      <c r="J1507" s="396"/>
      <c r="K1507" s="394" t="s">
        <v>3919</v>
      </c>
      <c r="L1507" s="316" t="s">
        <v>5478</v>
      </c>
      <c r="M1507" s="316"/>
      <c r="N1507" s="316" t="s">
        <v>5477</v>
      </c>
      <c r="O1507" s="313"/>
      <c r="P1507" s="394" t="s">
        <v>3919</v>
      </c>
      <c r="Q1507" s="663" t="s">
        <v>6435</v>
      </c>
      <c r="T1507" s="1" t="s">
        <v>5475</v>
      </c>
      <c r="U1507" s="162"/>
      <c r="V1507" t="s">
        <v>0</v>
      </c>
      <c r="W1507" t="s">
        <v>6436</v>
      </c>
      <c r="Z1507" s="12"/>
      <c r="AA1507" s="315"/>
      <c r="AB1507" s="89"/>
    </row>
    <row r="1508" spans="2:28" x14ac:dyDescent="0.35">
      <c r="D1508" s="386"/>
      <c r="E1508" s="177"/>
      <c r="F1508" s="387"/>
      <c r="G1508" s="316"/>
      <c r="I1508" s="396"/>
      <c r="J1508" s="395"/>
      <c r="K1508" s="316"/>
      <c r="L1508" s="313"/>
      <c r="M1508" s="316"/>
      <c r="N1508" s="73"/>
      <c r="O1508" s="313"/>
      <c r="Q1508" s="1"/>
      <c r="T1508" s="1"/>
      <c r="U1508" s="162"/>
      <c r="Z1508" s="12"/>
      <c r="AA1508" s="315"/>
      <c r="AB1508" s="89"/>
    </row>
    <row r="1509" spans="2:28" x14ac:dyDescent="0.35">
      <c r="B1509" s="83" t="s">
        <v>4204</v>
      </c>
      <c r="D1509" s="386"/>
      <c r="E1509" s="177"/>
      <c r="F1509" s="387"/>
      <c r="G1509" s="316"/>
      <c r="I1509" s="162"/>
      <c r="J1509" s="162"/>
      <c r="K1509" s="73"/>
      <c r="L1509" s="313"/>
      <c r="M1509" s="73"/>
      <c r="N1509" s="73"/>
      <c r="O1509" s="313"/>
      <c r="U1509" s="162"/>
      <c r="Z1509" s="12"/>
      <c r="AA1509" s="315"/>
      <c r="AB1509" s="89"/>
    </row>
    <row r="1510" spans="2:28" ht="24.5" x14ac:dyDescent="0.35">
      <c r="D1510" s="123" t="s">
        <v>2956</v>
      </c>
      <c r="E1510" s="177"/>
      <c r="F1510" s="123" t="s">
        <v>620</v>
      </c>
      <c r="G1510" s="316"/>
      <c r="I1510" s="123" t="s">
        <v>4180</v>
      </c>
      <c r="J1510" s="162"/>
      <c r="K1510" s="73"/>
      <c r="L1510" s="313"/>
      <c r="M1510" s="73"/>
      <c r="N1510" s="73"/>
      <c r="O1510" s="313"/>
      <c r="Q1510" s="123" t="s">
        <v>2961</v>
      </c>
      <c r="R1510" s="4"/>
      <c r="U1510" s="162"/>
      <c r="Z1510" s="12"/>
      <c r="AA1510" s="315"/>
      <c r="AB1510" s="89"/>
    </row>
    <row r="1511" spans="2:28" x14ac:dyDescent="0.35">
      <c r="D1511" s="386" t="s">
        <v>4179</v>
      </c>
      <c r="E1511" s="177"/>
      <c r="F1511" s="384">
        <v>0.09</v>
      </c>
      <c r="G1511" s="316"/>
      <c r="I1511" s="162">
        <v>7</v>
      </c>
      <c r="J1511" s="162"/>
      <c r="K1511" s="73"/>
      <c r="L1511" s="313"/>
      <c r="M1511" s="73"/>
      <c r="N1511" s="73"/>
      <c r="O1511" s="313"/>
      <c r="Q1511" s="1" t="s">
        <v>4178</v>
      </c>
      <c r="S1511" t="s">
        <v>0</v>
      </c>
      <c r="U1511" s="162"/>
      <c r="Z1511" s="12"/>
      <c r="AA1511" s="315"/>
      <c r="AB1511" s="89"/>
    </row>
    <row r="1512" spans="2:28" x14ac:dyDescent="0.35">
      <c r="D1512" s="386" t="s">
        <v>4181</v>
      </c>
      <c r="E1512" s="177"/>
      <c r="F1512" s="384">
        <v>0.09</v>
      </c>
      <c r="G1512" s="316"/>
      <c r="I1512" s="162">
        <v>150</v>
      </c>
      <c r="J1512" s="162" t="s">
        <v>4182</v>
      </c>
      <c r="K1512" s="73"/>
      <c r="L1512" s="313"/>
      <c r="M1512" s="73"/>
      <c r="N1512" s="73"/>
      <c r="O1512" s="313"/>
      <c r="Q1512" s="1"/>
      <c r="T1512" t="s">
        <v>4183</v>
      </c>
      <c r="U1512" s="162"/>
      <c r="Z1512" s="12"/>
      <c r="AA1512" s="315"/>
      <c r="AB1512" s="89"/>
    </row>
    <row r="1513" spans="2:28" x14ac:dyDescent="0.35">
      <c r="D1513" s="386"/>
      <c r="E1513" s="177"/>
      <c r="F1513" s="387"/>
      <c r="G1513" s="316"/>
      <c r="I1513" s="162"/>
      <c r="J1513" s="162"/>
      <c r="K1513" s="73"/>
      <c r="L1513" s="313"/>
      <c r="M1513" s="73"/>
      <c r="N1513" s="73"/>
      <c r="O1513" s="313"/>
      <c r="Q1513" s="1"/>
      <c r="U1513" s="162"/>
      <c r="Z1513" s="12"/>
      <c r="AA1513" s="315"/>
      <c r="AB1513" s="89"/>
    </row>
    <row r="1514" spans="2:28" x14ac:dyDescent="0.35">
      <c r="B1514" s="83" t="s">
        <v>3736</v>
      </c>
      <c r="D1514" s="386"/>
      <c r="E1514" s="177"/>
      <c r="F1514" s="387"/>
      <c r="G1514" s="316"/>
      <c r="H1514" s="309" t="s">
        <v>8279</v>
      </c>
      <c r="I1514" s="162"/>
      <c r="J1514" s="162"/>
      <c r="K1514" s="73"/>
      <c r="L1514" s="313"/>
      <c r="M1514" s="73"/>
      <c r="N1514" s="73"/>
      <c r="O1514" s="313"/>
      <c r="Q1514" s="1"/>
      <c r="U1514" s="162"/>
      <c r="Z1514" s="12"/>
      <c r="AA1514" s="315"/>
      <c r="AB1514" s="89"/>
    </row>
    <row r="1515" spans="2:28" x14ac:dyDescent="0.35">
      <c r="D1515" s="123" t="s">
        <v>2956</v>
      </c>
      <c r="E1515" s="177"/>
      <c r="F1515" s="123" t="s">
        <v>620</v>
      </c>
      <c r="G1515" s="316"/>
      <c r="K1515" s="73"/>
      <c r="L1515" s="313"/>
      <c r="M1515" s="73"/>
      <c r="N1515" s="73"/>
      <c r="O1515" s="313"/>
      <c r="Q1515" s="123" t="s">
        <v>2961</v>
      </c>
      <c r="R1515" s="4"/>
      <c r="T1515" t="s">
        <v>3609</v>
      </c>
      <c r="U1515" s="162"/>
      <c r="V1515" s="162" t="s">
        <v>3610</v>
      </c>
      <c r="Z1515" s="12"/>
      <c r="AA1515" s="315"/>
      <c r="AB1515" s="89"/>
    </row>
    <row r="1516" spans="2:28" x14ac:dyDescent="0.35">
      <c r="D1516" s="386" t="s">
        <v>3608</v>
      </c>
      <c r="E1516" s="177"/>
      <c r="F1516" s="887">
        <v>2.11</v>
      </c>
      <c r="G1516" s="316"/>
      <c r="H1516" t="s">
        <v>3613</v>
      </c>
      <c r="I1516" s="162"/>
      <c r="J1516" s="162"/>
      <c r="K1516" s="73"/>
      <c r="L1516" s="313"/>
      <c r="M1516" s="73"/>
      <c r="N1516" s="73"/>
      <c r="O1516" s="313"/>
      <c r="Q1516" s="1"/>
      <c r="U1516" s="162"/>
      <c r="Z1516" s="12"/>
      <c r="AA1516" s="315"/>
      <c r="AB1516" s="89"/>
    </row>
    <row r="1517" spans="2:28" x14ac:dyDescent="0.35">
      <c r="D1517" s="386" t="s">
        <v>8274</v>
      </c>
      <c r="E1517" s="177"/>
      <c r="F1517" s="887">
        <v>2.9</v>
      </c>
      <c r="G1517" s="316"/>
      <c r="H1517" t="s">
        <v>8273</v>
      </c>
      <c r="I1517" s="162"/>
      <c r="J1517" s="162"/>
      <c r="K1517" s="73"/>
      <c r="L1517" s="313"/>
      <c r="M1517" s="73"/>
      <c r="N1517" s="73"/>
      <c r="O1517" s="313"/>
      <c r="Q1517" s="1" t="s">
        <v>8272</v>
      </c>
      <c r="U1517" s="162"/>
      <c r="Z1517" s="12"/>
      <c r="AA1517" s="315"/>
      <c r="AB1517" s="89"/>
    </row>
    <row r="1518" spans="2:28" x14ac:dyDescent="0.35">
      <c r="D1518" s="386" t="s">
        <v>3612</v>
      </c>
      <c r="E1518" s="177"/>
      <c r="F1518" s="887">
        <v>0.8</v>
      </c>
      <c r="G1518" s="316"/>
      <c r="H1518" t="s">
        <v>3614</v>
      </c>
      <c r="I1518" s="162"/>
      <c r="J1518" s="162"/>
      <c r="K1518" s="73"/>
      <c r="L1518" s="313"/>
      <c r="M1518" s="73"/>
      <c r="N1518" s="73"/>
      <c r="O1518" s="313"/>
      <c r="Q1518" s="1" t="s">
        <v>3611</v>
      </c>
      <c r="S1518" t="s">
        <v>0</v>
      </c>
      <c r="U1518" s="162"/>
      <c r="Z1518" s="12"/>
      <c r="AA1518" s="315"/>
      <c r="AB1518" s="89"/>
    </row>
    <row r="1519" spans="2:28" x14ac:dyDescent="0.35">
      <c r="D1519" s="386" t="s">
        <v>3631</v>
      </c>
      <c r="E1519" s="177"/>
      <c r="F1519" s="887">
        <v>0.99</v>
      </c>
      <c r="G1519" s="316"/>
      <c r="H1519" t="s">
        <v>3632</v>
      </c>
      <c r="I1519" s="162"/>
      <c r="J1519" s="162"/>
      <c r="K1519" s="73"/>
      <c r="L1519" s="313"/>
      <c r="M1519" s="73"/>
      <c r="N1519" s="73"/>
      <c r="O1519" s="313"/>
      <c r="Q1519" s="1" t="s">
        <v>3224</v>
      </c>
      <c r="S1519" t="s">
        <v>0</v>
      </c>
      <c r="U1519" s="162"/>
      <c r="Z1519" s="12"/>
      <c r="AA1519" s="315"/>
      <c r="AB1519" s="89"/>
    </row>
    <row r="1520" spans="2:28" x14ac:dyDescent="0.35">
      <c r="C1520" s="351" t="s">
        <v>3063</v>
      </c>
      <c r="D1520" s="386" t="str">
        <f>D770</f>
        <v>TLV1805 comparator drives mosfet (see datasheet for info on how this works)</v>
      </c>
      <c r="E1520" s="177"/>
      <c r="F1520" s="487"/>
      <c r="G1520" s="316"/>
      <c r="Q1520" s="1" t="s">
        <v>8283</v>
      </c>
      <c r="S1520" t="s">
        <v>0</v>
      </c>
      <c r="U1520" s="162"/>
      <c r="Z1520" s="12"/>
      <c r="AA1520" s="315"/>
      <c r="AB1520" s="89"/>
    </row>
    <row r="1521" spans="2:28" x14ac:dyDescent="0.35">
      <c r="D1521" s="386"/>
      <c r="E1521" s="177"/>
      <c r="F1521" s="487"/>
      <c r="G1521" s="316"/>
      <c r="I1521" s="162"/>
      <c r="J1521" s="162"/>
      <c r="K1521" s="73"/>
      <c r="L1521" s="313"/>
      <c r="M1521" s="73"/>
      <c r="N1521" s="73"/>
      <c r="O1521" s="313"/>
      <c r="Q1521" s="1"/>
      <c r="U1521" s="162"/>
      <c r="Z1521" s="12"/>
      <c r="AA1521" s="315"/>
      <c r="AB1521" s="89"/>
    </row>
    <row r="1522" spans="2:28" x14ac:dyDescent="0.35">
      <c r="B1522" s="83" t="s">
        <v>5094</v>
      </c>
      <c r="D1522" s="386"/>
      <c r="E1522" s="177"/>
      <c r="F1522" s="387"/>
      <c r="G1522" s="316"/>
      <c r="I1522" s="391"/>
      <c r="J1522" s="162"/>
      <c r="K1522" s="73"/>
      <c r="L1522" s="313"/>
      <c r="M1522" s="73"/>
      <c r="N1522" s="73"/>
      <c r="O1522" s="313"/>
      <c r="U1522" s="162"/>
      <c r="Z1522" s="12"/>
      <c r="AA1522" s="315"/>
      <c r="AB1522" s="89"/>
    </row>
    <row r="1523" spans="2:28" ht="28.5" customHeight="1" x14ac:dyDescent="0.35">
      <c r="D1523" s="123" t="s">
        <v>2956</v>
      </c>
      <c r="E1523" s="4"/>
      <c r="F1523" s="123" t="s">
        <v>2975</v>
      </c>
      <c r="G1523" s="123" t="s">
        <v>2969</v>
      </c>
      <c r="H1523" s="123" t="s">
        <v>6621</v>
      </c>
      <c r="I1523" s="123"/>
      <c r="J1523" s="123" t="s">
        <v>6671</v>
      </c>
      <c r="K1523" s="123" t="s">
        <v>6586</v>
      </c>
      <c r="L1523" s="123" t="s">
        <v>3316</v>
      </c>
      <c r="M1523" s="123" t="s">
        <v>3317</v>
      </c>
      <c r="N1523" s="123" t="s">
        <v>3318</v>
      </c>
      <c r="O1523" s="123" t="s">
        <v>2978</v>
      </c>
      <c r="P1523" s="123" t="s">
        <v>3320</v>
      </c>
      <c r="Q1523" s="123" t="s">
        <v>6585</v>
      </c>
      <c r="R1523" s="123" t="s">
        <v>6589</v>
      </c>
      <c r="S1523" s="123" t="s">
        <v>2961</v>
      </c>
      <c r="T1523" s="123" t="s">
        <v>4228</v>
      </c>
    </row>
    <row r="1524" spans="2:28" x14ac:dyDescent="0.35">
      <c r="F1524" s="186"/>
      <c r="G1524" s="53"/>
      <c r="R1524" s="1"/>
    </row>
    <row r="1525" spans="2:28" x14ac:dyDescent="0.35">
      <c r="D1525" s="756" t="s">
        <v>7035</v>
      </c>
      <c r="F1525" s="186"/>
      <c r="G1525" s="53"/>
      <c r="R1525" s="1"/>
    </row>
    <row r="1526" spans="2:28" x14ac:dyDescent="0.35">
      <c r="D1526" s="295" t="s">
        <v>6719</v>
      </c>
      <c r="F1526" s="186">
        <v>0.33</v>
      </c>
      <c r="G1526" s="682" t="s">
        <v>6720</v>
      </c>
      <c r="H1526" s="674" t="s">
        <v>6730</v>
      </c>
      <c r="J1526" t="s">
        <v>0</v>
      </c>
      <c r="K1526" s="314" t="s">
        <v>6722</v>
      </c>
      <c r="L1526">
        <v>10</v>
      </c>
      <c r="R1526" s="1"/>
    </row>
    <row r="1527" spans="2:28" x14ac:dyDescent="0.35">
      <c r="D1527" s="295" t="s">
        <v>6729</v>
      </c>
      <c r="F1527" s="186">
        <v>0.27</v>
      </c>
      <c r="G1527" s="682" t="s">
        <v>6720</v>
      </c>
      <c r="H1527" s="674" t="s">
        <v>6731</v>
      </c>
      <c r="J1527" t="s">
        <v>0</v>
      </c>
      <c r="K1527" s="314" t="s">
        <v>6728</v>
      </c>
      <c r="R1527" s="1"/>
      <c r="S1527" s="1" t="s">
        <v>6727</v>
      </c>
      <c r="T1527" t="s">
        <v>0</v>
      </c>
    </row>
    <row r="1528" spans="2:28" x14ac:dyDescent="0.35">
      <c r="C1528" s="351" t="s">
        <v>3063</v>
      </c>
      <c r="D1528" s="295" t="s">
        <v>6741</v>
      </c>
      <c r="F1528" s="186">
        <v>0.1</v>
      </c>
      <c r="G1528" s="682" t="s">
        <v>6720</v>
      </c>
      <c r="H1528" s="674" t="s">
        <v>6742</v>
      </c>
      <c r="K1528" s="314" t="s">
        <v>6723</v>
      </c>
      <c r="L1528">
        <v>13</v>
      </c>
      <c r="M1528">
        <v>150</v>
      </c>
      <c r="N1528">
        <v>150</v>
      </c>
      <c r="O1528" t="s">
        <v>3319</v>
      </c>
      <c r="R1528">
        <v>2018</v>
      </c>
      <c r="S1528" s="1" t="s">
        <v>6721</v>
      </c>
      <c r="T1528" t="s">
        <v>7716</v>
      </c>
    </row>
    <row r="1529" spans="2:28" x14ac:dyDescent="0.35">
      <c r="D1529" s="295" t="s">
        <v>6724</v>
      </c>
      <c r="F1529" s="186"/>
      <c r="G1529" s="682" t="s">
        <v>6720</v>
      </c>
      <c r="H1529" s="674"/>
      <c r="K1529" s="314" t="s">
        <v>6740</v>
      </c>
      <c r="R1529" s="1"/>
    </row>
    <row r="1530" spans="2:28" x14ac:dyDescent="0.35">
      <c r="D1530" s="295" t="s">
        <v>6725</v>
      </c>
      <c r="F1530" s="186"/>
      <c r="G1530" s="682" t="s">
        <v>6720</v>
      </c>
      <c r="H1530" s="674"/>
      <c r="K1530" s="314" t="s">
        <v>6726</v>
      </c>
      <c r="R1530" s="1"/>
    </row>
    <row r="1531" spans="2:28" x14ac:dyDescent="0.35">
      <c r="D1531" s="295"/>
      <c r="F1531" s="186"/>
      <c r="G1531" s="682"/>
      <c r="H1531" s="674"/>
      <c r="K1531" s="314"/>
      <c r="R1531" s="1"/>
      <c r="S1531" s="1"/>
    </row>
    <row r="1532" spans="2:28" x14ac:dyDescent="0.35">
      <c r="D1532" s="756" t="s">
        <v>7036</v>
      </c>
      <c r="F1532" s="186"/>
      <c r="G1532" s="682"/>
      <c r="H1532" s="674"/>
      <c r="K1532" s="314"/>
      <c r="R1532" s="1"/>
    </row>
    <row r="1533" spans="2:28" x14ac:dyDescent="0.35">
      <c r="C1533" s="664"/>
      <c r="D1533" s="295" t="s">
        <v>6736</v>
      </c>
      <c r="F1533" s="186">
        <v>0.3</v>
      </c>
      <c r="G1533">
        <v>4.5</v>
      </c>
      <c r="H1533" s="674" t="s">
        <v>6737</v>
      </c>
      <c r="J1533" t="s">
        <v>0</v>
      </c>
      <c r="K1533" s="314" t="s">
        <v>6738</v>
      </c>
      <c r="L1533">
        <v>16</v>
      </c>
      <c r="R1533" s="1"/>
      <c r="S1533" s="1" t="s">
        <v>6735</v>
      </c>
      <c r="T1533" t="s">
        <v>0</v>
      </c>
    </row>
    <row r="1534" spans="2:28" x14ac:dyDescent="0.35">
      <c r="C1534" s="664"/>
      <c r="D1534" s="295" t="s">
        <v>6743</v>
      </c>
      <c r="F1534" s="186"/>
      <c r="G1534" s="682"/>
      <c r="H1534" s="674"/>
      <c r="K1534" s="314"/>
      <c r="R1534" s="1"/>
    </row>
    <row r="1535" spans="2:28" x14ac:dyDescent="0.35">
      <c r="C1535" s="664"/>
      <c r="D1535" s="295"/>
      <c r="F1535" s="186"/>
      <c r="G1535" s="682"/>
      <c r="H1535" s="674"/>
      <c r="K1535" s="314"/>
      <c r="R1535" s="1"/>
    </row>
    <row r="1536" spans="2:28" x14ac:dyDescent="0.35">
      <c r="B1536" s="351"/>
      <c r="D1536" s="756" t="s">
        <v>7037</v>
      </c>
      <c r="F1536" s="186"/>
      <c r="H1536" s="55"/>
      <c r="I1536" s="297"/>
      <c r="J1536" s="10"/>
      <c r="K1536" s="295"/>
      <c r="S1536" s="1"/>
    </row>
    <row r="1537" spans="3:21" x14ac:dyDescent="0.35">
      <c r="C1537" s="351" t="s">
        <v>3063</v>
      </c>
      <c r="D1537" s="506" t="s">
        <v>6642</v>
      </c>
      <c r="F1537" s="186">
        <v>0.1</v>
      </c>
      <c r="G1537">
        <v>3.6</v>
      </c>
      <c r="H1537" s="674" t="s">
        <v>6732</v>
      </c>
      <c r="I1537" s="297"/>
      <c r="J1537" s="10"/>
      <c r="K1537" s="295" t="s">
        <v>6643</v>
      </c>
      <c r="L1537">
        <v>5.5</v>
      </c>
      <c r="M1537">
        <v>55</v>
      </c>
      <c r="N1537">
        <v>200</v>
      </c>
      <c r="O1537" t="s">
        <v>3319</v>
      </c>
      <c r="Q1537" t="s">
        <v>6673</v>
      </c>
      <c r="R1537">
        <v>2009</v>
      </c>
      <c r="S1537" s="1" t="s">
        <v>6641</v>
      </c>
      <c r="T1537" t="s">
        <v>7898</v>
      </c>
      <c r="U1537" t="s">
        <v>6672</v>
      </c>
    </row>
    <row r="1538" spans="3:21" x14ac:dyDescent="0.35">
      <c r="C1538" s="351"/>
      <c r="D1538" s="506" t="s">
        <v>6646</v>
      </c>
      <c r="F1538" s="186">
        <v>0.12</v>
      </c>
      <c r="G1538">
        <v>3.6</v>
      </c>
      <c r="H1538" s="674" t="s">
        <v>6733</v>
      </c>
      <c r="I1538" s="297"/>
      <c r="J1538" s="10"/>
      <c r="K1538" s="295" t="s">
        <v>6667</v>
      </c>
      <c r="L1538" s="13">
        <v>6</v>
      </c>
      <c r="M1538">
        <v>2</v>
      </c>
      <c r="N1538">
        <v>250</v>
      </c>
      <c r="O1538" t="s">
        <v>3319</v>
      </c>
      <c r="Q1538" t="s">
        <v>6668</v>
      </c>
      <c r="R1538">
        <v>2019</v>
      </c>
      <c r="S1538" s="1"/>
    </row>
    <row r="1539" spans="3:21" x14ac:dyDescent="0.35">
      <c r="D1539" s="506" t="s">
        <v>6637</v>
      </c>
      <c r="F1539" s="186">
        <v>0.22</v>
      </c>
      <c r="G1539">
        <v>3.6</v>
      </c>
      <c r="H1539" s="674" t="s">
        <v>6647</v>
      </c>
      <c r="I1539" s="297"/>
      <c r="J1539" s="10"/>
      <c r="K1539" s="295" t="s">
        <v>6640</v>
      </c>
      <c r="L1539">
        <v>5.5</v>
      </c>
      <c r="M1539">
        <v>8</v>
      </c>
      <c r="N1539">
        <v>150</v>
      </c>
      <c r="O1539" t="s">
        <v>3319</v>
      </c>
      <c r="R1539">
        <v>2008</v>
      </c>
      <c r="S1539" s="1" t="s">
        <v>6638</v>
      </c>
      <c r="T1539" t="s">
        <v>0</v>
      </c>
      <c r="U1539" t="s">
        <v>6639</v>
      </c>
    </row>
    <row r="1540" spans="3:21" x14ac:dyDescent="0.35">
      <c r="D1540" s="506" t="s">
        <v>6634</v>
      </c>
      <c r="F1540" s="186">
        <v>0.12</v>
      </c>
      <c r="G1540">
        <v>3.6</v>
      </c>
      <c r="H1540" s="674" t="s">
        <v>6734</v>
      </c>
      <c r="I1540" s="297"/>
      <c r="J1540" s="10"/>
      <c r="K1540" s="295" t="s">
        <v>6640</v>
      </c>
      <c r="L1540">
        <v>5.5</v>
      </c>
      <c r="M1540">
        <v>55</v>
      </c>
      <c r="N1540">
        <v>150</v>
      </c>
      <c r="O1540" s="402" t="s">
        <v>6636</v>
      </c>
      <c r="R1540">
        <v>2011</v>
      </c>
      <c r="S1540" s="1" t="s">
        <v>6635</v>
      </c>
      <c r="T1540" t="s">
        <v>0</v>
      </c>
      <c r="U1540" t="s">
        <v>6639</v>
      </c>
    </row>
    <row r="1541" spans="3:21" x14ac:dyDescent="0.35">
      <c r="F1541" s="186"/>
      <c r="G1541" s="53"/>
      <c r="R1541" s="1"/>
    </row>
    <row r="1542" spans="3:21" ht="19.5" customHeight="1" x14ac:dyDescent="0.35">
      <c r="D1542" s="756" t="s">
        <v>6718</v>
      </c>
      <c r="E1542" s="7"/>
      <c r="F1542" s="297"/>
      <c r="G1542" s="297"/>
      <c r="H1542" s="297"/>
      <c r="I1542" s="297"/>
      <c r="J1542" s="297"/>
      <c r="K1542" s="297"/>
      <c r="L1542" s="297"/>
      <c r="M1542" s="297"/>
      <c r="N1542" s="297"/>
      <c r="O1542" s="297"/>
      <c r="P1542" s="297"/>
      <c r="Q1542" s="297"/>
      <c r="R1542" s="297"/>
      <c r="S1542" s="297"/>
      <c r="T1542" s="7"/>
    </row>
    <row r="1543" spans="3:21" x14ac:dyDescent="0.35">
      <c r="D1543" s="295" t="s">
        <v>6584</v>
      </c>
      <c r="F1543" s="186">
        <v>0.2</v>
      </c>
      <c r="G1543">
        <v>3.3</v>
      </c>
      <c r="H1543" s="55">
        <v>0.03</v>
      </c>
      <c r="I1543" s="297"/>
      <c r="K1543" s="10">
        <v>0.1</v>
      </c>
      <c r="L1543" s="13">
        <v>6</v>
      </c>
      <c r="M1543">
        <v>250</v>
      </c>
      <c r="N1543">
        <v>300</v>
      </c>
      <c r="O1543" t="s">
        <v>3319</v>
      </c>
      <c r="P1543">
        <v>30</v>
      </c>
      <c r="Q1543">
        <v>5</v>
      </c>
      <c r="R1543">
        <v>2004</v>
      </c>
      <c r="S1543" s="1" t="s">
        <v>3315</v>
      </c>
      <c r="T1543" t="s">
        <v>0</v>
      </c>
    </row>
    <row r="1544" spans="3:21" x14ac:dyDescent="0.35">
      <c r="D1544" s="506" t="s">
        <v>6588</v>
      </c>
      <c r="F1544" s="186">
        <v>0.06</v>
      </c>
      <c r="G1544">
        <v>3.3</v>
      </c>
      <c r="H1544" s="55">
        <v>1.4999999999999999E-2</v>
      </c>
      <c r="I1544" s="297"/>
      <c r="J1544" s="10">
        <v>0.03</v>
      </c>
      <c r="K1544" s="295" t="s">
        <v>6591</v>
      </c>
      <c r="L1544">
        <v>5.5</v>
      </c>
      <c r="M1544">
        <v>75</v>
      </c>
      <c r="N1544">
        <v>150</v>
      </c>
      <c r="O1544" t="s">
        <v>3319</v>
      </c>
      <c r="R1544">
        <v>2017</v>
      </c>
      <c r="S1544" s="1" t="s">
        <v>6587</v>
      </c>
      <c r="T1544" t="s">
        <v>0</v>
      </c>
      <c r="U1544" t="s">
        <v>6590</v>
      </c>
    </row>
    <row r="1545" spans="3:21" x14ac:dyDescent="0.35">
      <c r="D1545" s="506"/>
      <c r="F1545" s="186"/>
      <c r="H1545" s="55"/>
      <c r="I1545" s="297"/>
      <c r="J1545" s="10"/>
      <c r="K1545" s="295"/>
      <c r="S1545" s="1"/>
    </row>
    <row r="1546" spans="3:21" x14ac:dyDescent="0.35">
      <c r="D1546" s="757" t="s">
        <v>6861</v>
      </c>
      <c r="F1546" s="186"/>
      <c r="H1546" s="55"/>
      <c r="I1546" s="297"/>
      <c r="J1546" s="10"/>
      <c r="K1546" s="295"/>
      <c r="S1546" s="1"/>
    </row>
    <row r="1547" spans="3:21" x14ac:dyDescent="0.35">
      <c r="D1547" t="s">
        <v>3737</v>
      </c>
      <c r="F1547" s="186"/>
      <c r="H1547" s="55"/>
      <c r="I1547" s="297"/>
      <c r="J1547" s="10"/>
      <c r="K1547" s="295"/>
      <c r="S1547" s="1"/>
    </row>
    <row r="1548" spans="3:21" x14ac:dyDescent="0.35">
      <c r="C1548" s="351"/>
      <c r="D1548" s="506" t="s">
        <v>6855</v>
      </c>
      <c r="E1548" s="186"/>
      <c r="F1548" s="186">
        <v>0.28000000000000003</v>
      </c>
      <c r="G1548" s="701" t="s">
        <v>6860</v>
      </c>
      <c r="H1548" s="55">
        <v>0.06</v>
      </c>
      <c r="I1548" s="10"/>
      <c r="J1548" s="295"/>
      <c r="R1548" s="1"/>
      <c r="S1548" s="1" t="s">
        <v>6856</v>
      </c>
      <c r="T1548" t="s">
        <v>0</v>
      </c>
      <c r="U1548" t="s">
        <v>6862</v>
      </c>
    </row>
    <row r="1549" spans="3:21" x14ac:dyDescent="0.35">
      <c r="C1549" s="351"/>
      <c r="D1549" s="506"/>
      <c r="E1549" s="186"/>
      <c r="F1549" s="186"/>
      <c r="G1549" s="701"/>
      <c r="H1549" s="55"/>
      <c r="I1549" s="10"/>
      <c r="J1549" s="295"/>
      <c r="R1549" s="1"/>
      <c r="S1549" s="1"/>
    </row>
    <row r="1550" spans="3:21" x14ac:dyDescent="0.35">
      <c r="C1550" s="351"/>
      <c r="D1550" s="757" t="s">
        <v>6869</v>
      </c>
      <c r="E1550" s="186"/>
      <c r="F1550" s="186"/>
      <c r="G1550" s="701"/>
      <c r="H1550" s="55"/>
      <c r="I1550" s="10"/>
      <c r="J1550" s="295"/>
      <c r="R1550" s="1"/>
      <c r="S1550" s="1"/>
    </row>
    <row r="1551" spans="3:21" x14ac:dyDescent="0.35">
      <c r="C1551" s="351" t="s">
        <v>3063</v>
      </c>
      <c r="D1551" s="506" t="s">
        <v>7713</v>
      </c>
      <c r="E1551" s="186"/>
      <c r="F1551" s="186">
        <v>0.09</v>
      </c>
      <c r="G1551" s="702" t="s">
        <v>6872</v>
      </c>
      <c r="H1551" s="55">
        <v>2.5000000000000001E-3</v>
      </c>
      <c r="I1551" s="10"/>
      <c r="J1551" s="295"/>
      <c r="L1551">
        <v>18</v>
      </c>
      <c r="N1551">
        <v>60</v>
      </c>
      <c r="O1551" t="s">
        <v>6873</v>
      </c>
      <c r="R1551" s="1"/>
      <c r="S1551" s="1" t="s">
        <v>6870</v>
      </c>
      <c r="T1551" s="295" t="s">
        <v>7715</v>
      </c>
      <c r="U1551" t="s">
        <v>6871</v>
      </c>
    </row>
    <row r="1552" spans="3:21" x14ac:dyDescent="0.35">
      <c r="C1552" s="351"/>
      <c r="D1552" s="700"/>
      <c r="E1552" s="506"/>
      <c r="F1552" s="186"/>
      <c r="G1552" s="186"/>
      <c r="H1552" s="701"/>
      <c r="I1552" s="55"/>
      <c r="J1552" s="10"/>
      <c r="K1552" s="295"/>
      <c r="S1552" s="1"/>
      <c r="T1552" s="1"/>
    </row>
    <row r="1553" spans="2:28" x14ac:dyDescent="0.35">
      <c r="B1553" s="83" t="s">
        <v>6669</v>
      </c>
      <c r="F1553" s="186"/>
      <c r="G1553" s="53"/>
      <c r="R1553" s="1"/>
    </row>
    <row r="1554" spans="2:28" ht="36.5" x14ac:dyDescent="0.35">
      <c r="D1554" s="123" t="s">
        <v>5680</v>
      </c>
      <c r="E1554" s="123" t="s">
        <v>2956</v>
      </c>
      <c r="F1554" s="4"/>
      <c r="G1554" s="123" t="s">
        <v>2975</v>
      </c>
      <c r="H1554" s="123" t="s">
        <v>2969</v>
      </c>
      <c r="I1554" s="123" t="s">
        <v>6621</v>
      </c>
      <c r="J1554" s="123"/>
      <c r="K1554" s="123" t="s">
        <v>6671</v>
      </c>
      <c r="L1554" s="123" t="s">
        <v>6586</v>
      </c>
      <c r="M1554" s="123" t="s">
        <v>3316</v>
      </c>
      <c r="N1554" s="123" t="s">
        <v>3317</v>
      </c>
      <c r="O1554" s="123" t="s">
        <v>3318</v>
      </c>
      <c r="P1554" s="123" t="s">
        <v>2978</v>
      </c>
      <c r="Q1554" s="123" t="s">
        <v>3320</v>
      </c>
      <c r="R1554" s="123" t="s">
        <v>6585</v>
      </c>
      <c r="S1554" s="123" t="s">
        <v>6589</v>
      </c>
      <c r="T1554" s="123" t="s">
        <v>2961</v>
      </c>
      <c r="U1554" s="123" t="s">
        <v>4228</v>
      </c>
    </row>
    <row r="1555" spans="2:28" x14ac:dyDescent="0.35">
      <c r="D1555" s="754" t="s">
        <v>7268</v>
      </c>
      <c r="E1555" s="297"/>
      <c r="F1555" s="7"/>
      <c r="G1555" s="297"/>
      <c r="H1555" s="297"/>
      <c r="I1555" s="297"/>
      <c r="J1555" s="297"/>
      <c r="K1555" s="297"/>
      <c r="L1555" s="297"/>
      <c r="M1555" s="297"/>
      <c r="N1555" s="297"/>
      <c r="O1555" s="297"/>
      <c r="P1555" s="297"/>
      <c r="Q1555" s="297"/>
      <c r="R1555" s="297"/>
      <c r="S1555" s="297"/>
      <c r="T1555" s="297"/>
      <c r="U1555" s="7" t="s">
        <v>0</v>
      </c>
    </row>
    <row r="1556" spans="2:28" x14ac:dyDescent="0.35">
      <c r="E1556" t="s">
        <v>5097</v>
      </c>
      <c r="G1556" s="186">
        <v>0.1</v>
      </c>
      <c r="M1556">
        <v>5.5</v>
      </c>
      <c r="N1556">
        <v>90</v>
      </c>
      <c r="O1556">
        <v>300</v>
      </c>
      <c r="P1556" t="s">
        <v>3319</v>
      </c>
      <c r="T1556" s="1" t="s">
        <v>5096</v>
      </c>
      <c r="U1556" s="7" t="s">
        <v>0</v>
      </c>
      <c r="V1556" t="s">
        <v>5099</v>
      </c>
    </row>
    <row r="1557" spans="2:28" x14ac:dyDescent="0.35">
      <c r="E1557" t="s">
        <v>5107</v>
      </c>
      <c r="G1557" s="186">
        <v>0.14000000000000001</v>
      </c>
      <c r="M1557" s="13">
        <v>18</v>
      </c>
      <c r="N1557">
        <v>725</v>
      </c>
      <c r="O1557">
        <v>1500</v>
      </c>
      <c r="P1557" t="s">
        <v>3302</v>
      </c>
      <c r="T1557" s="1"/>
      <c r="U1557" s="7" t="s">
        <v>0</v>
      </c>
    </row>
    <row r="1558" spans="2:28" x14ac:dyDescent="0.35">
      <c r="E1558" t="s">
        <v>5098</v>
      </c>
      <c r="G1558" s="186">
        <v>0.55000000000000004</v>
      </c>
      <c r="M1558" s="13">
        <v>36</v>
      </c>
      <c r="O1558">
        <v>600</v>
      </c>
      <c r="T1558" s="1"/>
      <c r="U1558" s="7" t="s">
        <v>0</v>
      </c>
    </row>
    <row r="1559" spans="2:28" x14ac:dyDescent="0.35">
      <c r="E1559" t="s">
        <v>5109</v>
      </c>
      <c r="G1559" s="186">
        <v>0.55000000000000004</v>
      </c>
      <c r="M1559" s="13">
        <v>55</v>
      </c>
      <c r="O1559">
        <v>500</v>
      </c>
      <c r="P1559" t="s">
        <v>3302</v>
      </c>
      <c r="T1559" s="1" t="s">
        <v>5108</v>
      </c>
      <c r="U1559" s="7" t="s">
        <v>0</v>
      </c>
      <c r="V1559" t="s">
        <v>0</v>
      </c>
    </row>
    <row r="1560" spans="2:28" x14ac:dyDescent="0.35">
      <c r="E1560" t="s">
        <v>6745</v>
      </c>
      <c r="G1560" s="186">
        <v>0.12</v>
      </c>
      <c r="M1560" s="685" t="s">
        <v>6749</v>
      </c>
      <c r="T1560" s="1"/>
      <c r="U1560" s="19" t="s">
        <v>0</v>
      </c>
      <c r="V1560" t="s">
        <v>6748</v>
      </c>
    </row>
    <row r="1561" spans="2:28" x14ac:dyDescent="0.35">
      <c r="C1561" s="351"/>
      <c r="D1561" s="351" t="s">
        <v>3063</v>
      </c>
      <c r="E1561" s="177" t="s">
        <v>6746</v>
      </c>
      <c r="F1561" s="186"/>
      <c r="G1561" s="186">
        <v>0.21</v>
      </c>
      <c r="M1561" s="13">
        <v>17</v>
      </c>
      <c r="O1561">
        <v>1000</v>
      </c>
      <c r="P1561" t="s">
        <v>3302</v>
      </c>
      <c r="T1561" s="1" t="s">
        <v>6747</v>
      </c>
      <c r="U1561" s="687" t="s">
        <v>8141</v>
      </c>
      <c r="V1561" t="s">
        <v>6750</v>
      </c>
    </row>
    <row r="1562" spans="2:28" x14ac:dyDescent="0.35">
      <c r="C1562" s="351"/>
      <c r="F1562" s="186"/>
      <c r="G1562" s="53"/>
      <c r="R1562" s="1"/>
    </row>
    <row r="1563" spans="2:28" x14ac:dyDescent="0.35">
      <c r="B1563" s="83" t="s">
        <v>3676</v>
      </c>
      <c r="E1563" s="177"/>
      <c r="F1563" s="387"/>
      <c r="G1563" s="316"/>
      <c r="I1563" s="396"/>
      <c r="J1563" s="395"/>
      <c r="K1563" s="316"/>
      <c r="L1563" s="313"/>
      <c r="M1563" s="316"/>
      <c r="N1563" s="73"/>
      <c r="O1563" s="313"/>
      <c r="R1563" s="1"/>
      <c r="Z1563" s="12"/>
      <c r="AA1563" s="315"/>
      <c r="AB1563" s="89"/>
    </row>
    <row r="1564" spans="2:28" x14ac:dyDescent="0.35">
      <c r="D1564" s="123" t="s">
        <v>2956</v>
      </c>
      <c r="E1564" s="177"/>
      <c r="F1564" s="123" t="s">
        <v>620</v>
      </c>
      <c r="G1564" s="316"/>
      <c r="H1564" s="123" t="s">
        <v>4305</v>
      </c>
      <c r="I1564" s="433"/>
      <c r="J1564" s="433"/>
      <c r="K1564" s="433"/>
      <c r="L1564" s="433"/>
      <c r="M1564" s="433"/>
      <c r="N1564" s="433"/>
      <c r="O1564" s="313"/>
      <c r="R1564" s="123" t="s">
        <v>2961</v>
      </c>
      <c r="Z1564" s="12"/>
      <c r="AA1564" s="315"/>
      <c r="AB1564" s="89"/>
    </row>
    <row r="1565" spans="2:28" x14ac:dyDescent="0.35">
      <c r="D1565" s="880" t="s">
        <v>3675</v>
      </c>
      <c r="E1565" s="177"/>
      <c r="F1565" s="387">
        <v>2.46</v>
      </c>
      <c r="G1565" s="316"/>
      <c r="H1565" t="s">
        <v>3677</v>
      </c>
      <c r="I1565" s="396"/>
      <c r="J1565" s="395"/>
      <c r="K1565" s="316"/>
      <c r="L1565" s="313"/>
      <c r="M1565" s="316"/>
      <c r="N1565" s="73"/>
      <c r="O1565" s="313"/>
      <c r="R1565" s="1"/>
      <c r="Z1565" s="12"/>
      <c r="AA1565" s="315"/>
      <c r="AB1565" s="89"/>
    </row>
    <row r="1566" spans="2:28" x14ac:dyDescent="0.35">
      <c r="D1566" s="880" t="s">
        <v>3678</v>
      </c>
      <c r="E1566" s="177"/>
      <c r="F1566" s="387">
        <v>1.1200000000000001</v>
      </c>
      <c r="G1566" s="316"/>
      <c r="H1566" t="s">
        <v>3679</v>
      </c>
      <c r="I1566" s="396"/>
      <c r="J1566" s="395"/>
      <c r="K1566" s="316"/>
      <c r="L1566" s="313"/>
      <c r="M1566" s="316"/>
      <c r="N1566" s="73"/>
      <c r="O1566" s="313"/>
      <c r="R1566" s="1"/>
      <c r="Z1566" s="12"/>
      <c r="AA1566" s="315"/>
      <c r="AB1566" s="89"/>
    </row>
    <row r="1567" spans="2:28" x14ac:dyDescent="0.35">
      <c r="D1567" s="880" t="s">
        <v>3681</v>
      </c>
      <c r="E1567" s="177"/>
      <c r="F1567" s="387">
        <v>0.8</v>
      </c>
      <c r="G1567" s="316"/>
      <c r="H1567" t="s">
        <v>3682</v>
      </c>
      <c r="I1567" s="396"/>
      <c r="J1567" s="395"/>
      <c r="K1567" s="316"/>
      <c r="L1567" s="313"/>
      <c r="M1567" s="316"/>
      <c r="N1567" s="73"/>
      <c r="O1567" s="313"/>
      <c r="R1567" s="1" t="s">
        <v>3680</v>
      </c>
      <c r="T1567" t="s">
        <v>0</v>
      </c>
      <c r="Z1567" s="12"/>
      <c r="AA1567" s="315"/>
      <c r="AB1567" s="89"/>
    </row>
    <row r="1568" spans="2:28" x14ac:dyDescent="0.35">
      <c r="D1568" s="880" t="s">
        <v>3686</v>
      </c>
      <c r="E1568" s="177"/>
      <c r="F1568" s="387">
        <v>0.12</v>
      </c>
      <c r="G1568" s="316"/>
      <c r="H1568" t="s">
        <v>3732</v>
      </c>
      <c r="I1568" s="396"/>
      <c r="J1568" s="395"/>
      <c r="K1568" s="316"/>
      <c r="L1568" s="313"/>
      <c r="M1568" s="316"/>
      <c r="N1568" s="73"/>
      <c r="O1568" s="313"/>
      <c r="R1568" s="1"/>
      <c r="Z1568" s="12"/>
      <c r="AA1568" s="315"/>
      <c r="AB1568" s="89"/>
    </row>
    <row r="1569" spans="2:28" x14ac:dyDescent="0.35">
      <c r="D1569" s="880" t="s">
        <v>3733</v>
      </c>
      <c r="E1569" s="177"/>
      <c r="F1569" s="387">
        <v>0.08</v>
      </c>
      <c r="G1569" s="316"/>
      <c r="H1569" t="s">
        <v>3735</v>
      </c>
      <c r="I1569" s="396"/>
      <c r="J1569" s="395"/>
      <c r="K1569" s="316"/>
      <c r="L1569" s="313"/>
      <c r="M1569" s="316"/>
      <c r="N1569" s="73"/>
      <c r="O1569" s="313"/>
      <c r="R1569" s="1" t="s">
        <v>3734</v>
      </c>
      <c r="T1569" t="s">
        <v>0</v>
      </c>
      <c r="Z1569" s="12"/>
      <c r="AA1569" s="315"/>
      <c r="AB1569" s="89"/>
    </row>
    <row r="1570" spans="2:28" x14ac:dyDescent="0.35">
      <c r="D1570" s="386"/>
      <c r="E1570" s="177"/>
      <c r="F1570" s="387"/>
      <c r="G1570" s="316"/>
      <c r="I1570" s="396"/>
      <c r="J1570" s="395"/>
      <c r="K1570" s="316"/>
      <c r="L1570" s="313"/>
      <c r="M1570" s="316"/>
      <c r="N1570" s="73"/>
      <c r="O1570" s="313"/>
      <c r="R1570" s="1"/>
      <c r="Z1570" s="12"/>
      <c r="AA1570" s="315"/>
      <c r="AB1570" s="89"/>
    </row>
    <row r="1571" spans="2:28" x14ac:dyDescent="0.35">
      <c r="B1571" s="83" t="s">
        <v>4303</v>
      </c>
      <c r="D1571" s="386"/>
      <c r="E1571" s="177"/>
      <c r="F1571" s="387"/>
      <c r="G1571" s="316"/>
      <c r="I1571" s="396"/>
      <c r="J1571" s="395"/>
      <c r="K1571" s="316"/>
      <c r="L1571" s="313"/>
      <c r="M1571" s="316"/>
      <c r="N1571" s="73"/>
      <c r="O1571" s="313"/>
      <c r="R1571" s="1"/>
      <c r="Z1571" s="12"/>
      <c r="AA1571" s="315"/>
      <c r="AB1571" s="89"/>
    </row>
    <row r="1572" spans="2:28" x14ac:dyDescent="0.35">
      <c r="D1572" s="123" t="s">
        <v>2956</v>
      </c>
      <c r="E1572" s="177"/>
      <c r="F1572" s="123" t="s">
        <v>4305</v>
      </c>
      <c r="G1572" s="433"/>
      <c r="H1572" s="433"/>
      <c r="I1572" s="433"/>
      <c r="J1572" s="433"/>
      <c r="K1572" s="433"/>
      <c r="L1572" s="433"/>
      <c r="O1572" s="313"/>
      <c r="Z1572" s="12"/>
      <c r="AA1572" s="315"/>
      <c r="AB1572" s="89"/>
    </row>
    <row r="1573" spans="2:28" x14ac:dyDescent="0.35">
      <c r="C1573" s="351" t="s">
        <v>3063</v>
      </c>
      <c r="D1573" s="874" t="s">
        <v>7818</v>
      </c>
      <c r="F1573" s="314" t="s">
        <v>7822</v>
      </c>
      <c r="G1573" s="316"/>
      <c r="H1573" s="297"/>
      <c r="I1573" s="873"/>
      <c r="J1573" s="873"/>
      <c r="K1573" s="873"/>
      <c r="L1573" s="873"/>
      <c r="M1573" s="873"/>
      <c r="N1573" s="873"/>
      <c r="O1573" s="313"/>
      <c r="R1573" s="297"/>
      <c r="Z1573" s="12"/>
      <c r="AA1573" s="315"/>
      <c r="AB1573" s="89"/>
    </row>
    <row r="1574" spans="2:28" x14ac:dyDescent="0.35">
      <c r="C1574" s="351"/>
      <c r="D1574" s="874" t="s">
        <v>7899</v>
      </c>
      <c r="F1574" s="314" t="s">
        <v>7902</v>
      </c>
      <c r="G1574" s="316"/>
      <c r="H1574" s="297"/>
      <c r="I1574" s="873"/>
      <c r="J1574" s="873"/>
      <c r="K1574" s="873"/>
      <c r="L1574" s="873"/>
      <c r="M1574" s="873"/>
      <c r="N1574" s="873"/>
      <c r="O1574" s="313"/>
      <c r="R1574" s="297"/>
      <c r="Z1574" s="12"/>
      <c r="AA1574" s="315"/>
      <c r="AB1574" s="89"/>
    </row>
    <row r="1575" spans="2:28" x14ac:dyDescent="0.35">
      <c r="D1575" s="871" t="s">
        <v>7819</v>
      </c>
      <c r="F1575" s="386" t="s">
        <v>7821</v>
      </c>
      <c r="G1575" s="316"/>
      <c r="I1575" s="396"/>
      <c r="J1575" s="395"/>
      <c r="K1575" s="316"/>
      <c r="L1575" s="313"/>
      <c r="M1575" s="316"/>
      <c r="N1575" s="73"/>
      <c r="O1575" s="313"/>
      <c r="R1575" s="1"/>
      <c r="Z1575" s="12"/>
      <c r="AA1575" s="315"/>
      <c r="AB1575" s="89"/>
    </row>
    <row r="1576" spans="2:28" x14ac:dyDescent="0.35">
      <c r="D1576" s="871" t="s">
        <v>7820</v>
      </c>
      <c r="F1576" s="386" t="s">
        <v>7869</v>
      </c>
      <c r="G1576" s="316"/>
      <c r="I1576" s="396"/>
      <c r="J1576" s="395"/>
      <c r="K1576" s="316"/>
      <c r="L1576" s="313"/>
      <c r="M1576" s="316"/>
      <c r="N1576" s="73"/>
      <c r="O1576" s="313"/>
      <c r="R1576" s="1"/>
      <c r="Z1576" s="12"/>
      <c r="AA1576" s="315"/>
      <c r="AB1576" s="89"/>
    </row>
    <row r="1577" spans="2:28" x14ac:dyDescent="0.35">
      <c r="D1577" s="386"/>
      <c r="E1577" s="177"/>
      <c r="F1577" s="387"/>
      <c r="G1577" s="316"/>
      <c r="I1577" s="396"/>
      <c r="J1577" s="395"/>
      <c r="K1577" s="316"/>
      <c r="L1577" s="313"/>
      <c r="M1577" s="316"/>
      <c r="N1577" s="73"/>
      <c r="O1577" s="313"/>
      <c r="R1577" s="1"/>
      <c r="Z1577" s="12"/>
      <c r="AA1577" s="315"/>
      <c r="AB1577" s="89"/>
    </row>
    <row r="1578" spans="2:28" x14ac:dyDescent="0.35">
      <c r="B1578" s="83" t="s">
        <v>6670</v>
      </c>
      <c r="F1578" s="186"/>
      <c r="G1578" s="53"/>
      <c r="T1578" t="s">
        <v>4243</v>
      </c>
      <c r="W1578" s="1" t="s">
        <v>4242</v>
      </c>
      <c r="Y1578" t="s">
        <v>0</v>
      </c>
    </row>
    <row r="1579" spans="2:28" ht="24.5" x14ac:dyDescent="0.35">
      <c r="D1579" s="123" t="s">
        <v>2956</v>
      </c>
      <c r="F1579" s="123" t="s">
        <v>2975</v>
      </c>
      <c r="G1579" s="53"/>
      <c r="H1579" s="123" t="s">
        <v>2969</v>
      </c>
      <c r="K1579" s="123" t="s">
        <v>3316</v>
      </c>
      <c r="L1579" s="123" t="s">
        <v>4239</v>
      </c>
      <c r="M1579" s="123" t="s">
        <v>4241</v>
      </c>
      <c r="N1579" s="123" t="s">
        <v>3317</v>
      </c>
      <c r="O1579" s="123" t="s">
        <v>3290</v>
      </c>
      <c r="R1579" s="123" t="s">
        <v>2961</v>
      </c>
      <c r="S1579" s="4"/>
      <c r="T1579" s="123" t="s">
        <v>4228</v>
      </c>
      <c r="U1579" t="s">
        <v>4247</v>
      </c>
    </row>
    <row r="1580" spans="2:28" x14ac:dyDescent="0.35">
      <c r="D1580" s="756" t="s">
        <v>4102</v>
      </c>
      <c r="F1580" s="297"/>
      <c r="G1580" s="53"/>
      <c r="H1580" s="297"/>
      <c r="K1580" s="297"/>
      <c r="L1580" s="297"/>
      <c r="M1580" s="297"/>
      <c r="N1580" s="297"/>
      <c r="O1580" s="297"/>
      <c r="R1580" s="297"/>
      <c r="S1580" s="7"/>
    </row>
    <row r="1581" spans="2:28" x14ac:dyDescent="0.35">
      <c r="D1581" s="295" t="s">
        <v>3763</v>
      </c>
      <c r="F1581" s="698">
        <v>0.32</v>
      </c>
      <c r="G1581" s="53"/>
      <c r="H1581">
        <v>0.23</v>
      </c>
      <c r="K1581" s="295" t="s">
        <v>3764</v>
      </c>
      <c r="N1581">
        <v>150</v>
      </c>
      <c r="O1581" t="s">
        <v>3765</v>
      </c>
      <c r="R1581" s="1" t="s">
        <v>3762</v>
      </c>
      <c r="T1581" t="s">
        <v>0</v>
      </c>
      <c r="U1581" t="s">
        <v>4248</v>
      </c>
    </row>
    <row r="1582" spans="2:28" x14ac:dyDescent="0.35">
      <c r="D1582" s="295"/>
      <c r="F1582" s="698"/>
      <c r="G1582" s="53"/>
      <c r="K1582" s="295"/>
    </row>
    <row r="1583" spans="2:28" x14ac:dyDescent="0.35">
      <c r="D1583" s="756" t="s">
        <v>6839</v>
      </c>
      <c r="F1583" s="698"/>
      <c r="G1583" s="53"/>
      <c r="K1583" s="295"/>
    </row>
    <row r="1584" spans="2:28" x14ac:dyDescent="0.35">
      <c r="D1584" s="386" t="s">
        <v>3457</v>
      </c>
      <c r="F1584" s="699">
        <v>0.62</v>
      </c>
      <c r="G1584" s="53"/>
      <c r="H1584" s="295" t="s">
        <v>6838</v>
      </c>
      <c r="K1584" s="295"/>
      <c r="R1584" s="1" t="s">
        <v>3456</v>
      </c>
      <c r="T1584" t="s">
        <v>0</v>
      </c>
    </row>
    <row r="1585" spans="4:23" x14ac:dyDescent="0.35">
      <c r="D1585" s="386" t="s">
        <v>3459</v>
      </c>
      <c r="F1585" s="699">
        <v>0.39</v>
      </c>
      <c r="G1585" s="53"/>
      <c r="H1585" s="295" t="s">
        <v>6837</v>
      </c>
      <c r="K1585" s="295"/>
      <c r="R1585" s="1" t="s">
        <v>3458</v>
      </c>
      <c r="T1585" t="s">
        <v>0</v>
      </c>
    </row>
    <row r="1586" spans="4:23" x14ac:dyDescent="0.35">
      <c r="D1586" s="295" t="s">
        <v>6831</v>
      </c>
      <c r="F1586" s="698">
        <v>0.2</v>
      </c>
      <c r="G1586" s="53"/>
      <c r="H1586" s="295" t="s">
        <v>6840</v>
      </c>
      <c r="K1586" s="295"/>
      <c r="R1586" s="1" t="s">
        <v>6830</v>
      </c>
      <c r="T1586" t="s">
        <v>0</v>
      </c>
      <c r="U1586" t="s">
        <v>4759</v>
      </c>
    </row>
    <row r="1587" spans="4:23" x14ac:dyDescent="0.35">
      <c r="D1587" s="295"/>
      <c r="F1587" s="698"/>
      <c r="G1587" s="53"/>
      <c r="H1587" s="295"/>
      <c r="K1587" s="295"/>
      <c r="R1587" s="1"/>
    </row>
    <row r="1588" spans="4:23" x14ac:dyDescent="0.35">
      <c r="D1588" s="756" t="s">
        <v>6843</v>
      </c>
      <c r="F1588" s="698"/>
      <c r="G1588" s="53"/>
      <c r="H1588" s="295"/>
      <c r="K1588" s="295"/>
      <c r="R1588" s="1"/>
    </row>
    <row r="1589" spans="4:23" x14ac:dyDescent="0.35">
      <c r="D1589" s="295" t="s">
        <v>6832</v>
      </c>
      <c r="F1589" s="698">
        <v>0.32</v>
      </c>
      <c r="G1589" s="53"/>
      <c r="H1589" s="295" t="s">
        <v>6834</v>
      </c>
      <c r="K1589" s="295"/>
      <c r="R1589" s="1"/>
      <c r="T1589" t="s">
        <v>7718</v>
      </c>
      <c r="U1589" t="s">
        <v>6854</v>
      </c>
    </row>
    <row r="1590" spans="4:23" x14ac:dyDescent="0.35">
      <c r="D1590" s="295" t="s">
        <v>6857</v>
      </c>
      <c r="F1590" s="698">
        <v>0.35</v>
      </c>
      <c r="G1590" s="53"/>
      <c r="H1590" s="295" t="s">
        <v>6836</v>
      </c>
      <c r="K1590" s="295"/>
      <c r="R1590" s="1"/>
      <c r="U1590" t="s">
        <v>6858</v>
      </c>
    </row>
    <row r="1591" spans="4:23" x14ac:dyDescent="0.35">
      <c r="D1591" s="295" t="s">
        <v>6833</v>
      </c>
      <c r="F1591" s="698">
        <v>0.45</v>
      </c>
      <c r="G1591" s="53"/>
      <c r="H1591" s="295" t="s">
        <v>6841</v>
      </c>
      <c r="K1591" s="295"/>
      <c r="R1591" s="1"/>
    </row>
    <row r="1592" spans="4:23" x14ac:dyDescent="0.35">
      <c r="D1592" s="295" t="s">
        <v>6835</v>
      </c>
      <c r="F1592" s="698">
        <v>0.25</v>
      </c>
      <c r="G1592" s="53"/>
      <c r="H1592" s="295" t="s">
        <v>6842</v>
      </c>
      <c r="K1592" s="295"/>
      <c r="R1592" s="1"/>
    </row>
    <row r="1593" spans="4:23" x14ac:dyDescent="0.35">
      <c r="D1593" s="295"/>
      <c r="F1593" s="698"/>
      <c r="G1593" s="53"/>
      <c r="H1593" s="295"/>
      <c r="K1593" s="295"/>
      <c r="R1593" s="1"/>
    </row>
    <row r="1594" spans="4:23" x14ac:dyDescent="0.35">
      <c r="D1594" s="756" t="s">
        <v>6844</v>
      </c>
      <c r="F1594" s="698"/>
      <c r="G1594" s="53"/>
      <c r="R1594" s="1"/>
    </row>
    <row r="1595" spans="4:23" x14ac:dyDescent="0.35">
      <c r="D1595" s="295" t="s">
        <v>4237</v>
      </c>
      <c r="F1595" s="698">
        <v>0.12</v>
      </c>
      <c r="G1595" s="53"/>
      <c r="H1595" s="295" t="s">
        <v>4238</v>
      </c>
      <c r="K1595" s="295">
        <v>16</v>
      </c>
      <c r="L1595">
        <v>29</v>
      </c>
      <c r="M1595">
        <v>500</v>
      </c>
      <c r="N1595" s="73">
        <v>3500</v>
      </c>
      <c r="O1595" t="s">
        <v>4240</v>
      </c>
      <c r="R1595" s="1" t="s">
        <v>4236</v>
      </c>
      <c r="T1595" t="s">
        <v>0</v>
      </c>
      <c r="W1595" t="s">
        <v>0</v>
      </c>
    </row>
    <row r="1596" spans="4:23" x14ac:dyDescent="0.35">
      <c r="D1596" s="295" t="s">
        <v>4245</v>
      </c>
      <c r="F1596" s="698">
        <v>0.27</v>
      </c>
      <c r="G1596" s="53"/>
      <c r="H1596" s="295" t="s">
        <v>3919</v>
      </c>
      <c r="K1596" s="295">
        <v>12</v>
      </c>
      <c r="L1596">
        <v>34</v>
      </c>
      <c r="M1596">
        <v>75</v>
      </c>
      <c r="N1596" s="73">
        <v>30</v>
      </c>
      <c r="O1596" t="s">
        <v>4246</v>
      </c>
      <c r="R1596" s="1" t="s">
        <v>4244</v>
      </c>
      <c r="T1596" t="s">
        <v>0</v>
      </c>
      <c r="U1596" t="s">
        <v>4249</v>
      </c>
    </row>
    <row r="1597" spans="4:23" x14ac:dyDescent="0.35">
      <c r="D1597" s="295"/>
      <c r="F1597" s="698"/>
      <c r="G1597" s="53"/>
      <c r="K1597" s="295"/>
      <c r="N1597" s="73"/>
      <c r="R1597" s="1"/>
    </row>
    <row r="1598" spans="4:23" x14ac:dyDescent="0.35">
      <c r="D1598" s="756" t="s">
        <v>6845</v>
      </c>
      <c r="F1598" s="698"/>
      <c r="G1598" s="53"/>
      <c r="K1598" s="295"/>
      <c r="N1598" s="73"/>
      <c r="R1598" s="1"/>
    </row>
    <row r="1599" spans="4:23" x14ac:dyDescent="0.35">
      <c r="D1599" s="295" t="s">
        <v>6846</v>
      </c>
      <c r="F1599" s="698">
        <v>0.69</v>
      </c>
      <c r="G1599" s="53"/>
      <c r="H1599" s="295" t="s">
        <v>6849</v>
      </c>
      <c r="K1599" s="295"/>
      <c r="N1599" s="73"/>
      <c r="R1599" s="1"/>
    </row>
    <row r="1600" spans="4:23" x14ac:dyDescent="0.35">
      <c r="D1600" s="295" t="s">
        <v>6847</v>
      </c>
      <c r="F1600" s="698">
        <v>0.56999999999999995</v>
      </c>
      <c r="G1600" s="53"/>
      <c r="H1600" s="295" t="s">
        <v>6848</v>
      </c>
      <c r="K1600" s="295"/>
      <c r="N1600" s="73"/>
      <c r="R1600" s="1"/>
    </row>
    <row r="1601" spans="2:28" x14ac:dyDescent="0.35">
      <c r="D1601" s="295" t="s">
        <v>6850</v>
      </c>
      <c r="F1601" s="698">
        <v>1.29</v>
      </c>
      <c r="G1601" s="53"/>
      <c r="H1601" s="295" t="s">
        <v>6851</v>
      </c>
      <c r="K1601" s="295"/>
      <c r="N1601" s="73"/>
      <c r="R1601" s="1"/>
    </row>
    <row r="1602" spans="2:28" x14ac:dyDescent="0.35">
      <c r="D1602" s="295" t="s">
        <v>6852</v>
      </c>
      <c r="F1602" s="698">
        <v>1.0900000000000001</v>
      </c>
      <c r="G1602" s="53"/>
      <c r="H1602" s="295" t="s">
        <v>6853</v>
      </c>
      <c r="K1602" s="295"/>
      <c r="N1602" s="73"/>
      <c r="R1602" s="1"/>
    </row>
    <row r="1603" spans="2:28" x14ac:dyDescent="0.35">
      <c r="D1603" s="386"/>
      <c r="E1603" s="177"/>
      <c r="F1603" s="387"/>
      <c r="G1603" s="316"/>
      <c r="I1603" s="162"/>
      <c r="J1603" s="162"/>
      <c r="K1603" s="73"/>
      <c r="L1603" s="313"/>
      <c r="M1603" s="73"/>
      <c r="N1603" s="73"/>
      <c r="O1603" s="313"/>
      <c r="U1603" s="162"/>
      <c r="Z1603" s="12"/>
      <c r="AA1603" s="315"/>
      <c r="AB1603" s="89"/>
    </row>
    <row r="1604" spans="2:28" x14ac:dyDescent="0.35">
      <c r="B1604" s="83" t="s">
        <v>5095</v>
      </c>
      <c r="F1604" s="186"/>
      <c r="G1604" s="53"/>
      <c r="S1604" s="1"/>
    </row>
    <row r="1605" spans="2:28" x14ac:dyDescent="0.35">
      <c r="C1605" s="351"/>
      <c r="D1605" s="123" t="s">
        <v>2956</v>
      </c>
      <c r="F1605" s="123" t="s">
        <v>620</v>
      </c>
      <c r="G1605" s="123" t="s">
        <v>2978</v>
      </c>
      <c r="I1605" s="73"/>
      <c r="J1605" s="73"/>
      <c r="K1605" s="73"/>
      <c r="L1605" s="295"/>
      <c r="M1605" s="295"/>
      <c r="N1605" s="295"/>
      <c r="O1605" s="73"/>
      <c r="R1605" s="123" t="s">
        <v>2961</v>
      </c>
      <c r="S1605" s="4"/>
      <c r="V1605" s="162"/>
      <c r="Y1605" s="13"/>
      <c r="Z1605" s="10"/>
      <c r="AA1605" s="315"/>
      <c r="AB1605" s="89"/>
    </row>
    <row r="1606" spans="2:28" x14ac:dyDescent="0.35">
      <c r="C1606" s="351"/>
      <c r="D1606" s="383" t="s">
        <v>4749</v>
      </c>
      <c r="F1606">
        <v>0.11</v>
      </c>
      <c r="G1606" s="295" t="s">
        <v>4039</v>
      </c>
      <c r="H1606" s="8"/>
      <c r="I1606" s="128" t="s">
        <v>4751</v>
      </c>
      <c r="K1606" s="73"/>
      <c r="L1606" s="313"/>
      <c r="M1606" s="313"/>
      <c r="R1606" s="1" t="s">
        <v>4750</v>
      </c>
      <c r="S1606" s="1"/>
      <c r="T1606" t="s">
        <v>0</v>
      </c>
      <c r="U1606" t="s">
        <v>4755</v>
      </c>
    </row>
    <row r="1607" spans="2:28" x14ac:dyDescent="0.35">
      <c r="C1607" s="351"/>
      <c r="D1607" s="383" t="s">
        <v>4765</v>
      </c>
      <c r="F1607">
        <v>7.0000000000000007E-2</v>
      </c>
      <c r="G1607" s="295" t="s">
        <v>4051</v>
      </c>
      <c r="H1607" s="8"/>
      <c r="I1607" s="73"/>
      <c r="K1607" s="73"/>
      <c r="L1607" s="313"/>
      <c r="M1607" s="313"/>
      <c r="P1607" s="1"/>
      <c r="Q1607" s="1"/>
      <c r="R1607" s="1" t="s">
        <v>4764</v>
      </c>
      <c r="T1607" t="s">
        <v>0</v>
      </c>
    </row>
    <row r="1608" spans="2:28" x14ac:dyDescent="0.35">
      <c r="C1608" s="351"/>
      <c r="D1608" s="383"/>
      <c r="G1608" s="295"/>
      <c r="H1608" s="8"/>
      <c r="I1608" s="73"/>
      <c r="K1608" s="73"/>
      <c r="L1608" s="313"/>
      <c r="M1608" s="313"/>
      <c r="P1608" s="1"/>
      <c r="Q1608" s="1"/>
      <c r="R1608" s="1"/>
    </row>
    <row r="1609" spans="2:28" x14ac:dyDescent="0.35">
      <c r="B1609" s="83" t="s">
        <v>3007</v>
      </c>
    </row>
    <row r="1610" spans="2:28" x14ac:dyDescent="0.35">
      <c r="D1610" t="s">
        <v>7988</v>
      </c>
    </row>
    <row r="1612" spans="2:28" x14ac:dyDescent="0.35">
      <c r="B1612" s="83" t="s">
        <v>4702</v>
      </c>
    </row>
    <row r="1613" spans="2:28" x14ac:dyDescent="0.35">
      <c r="D1613" s="123" t="s">
        <v>2956</v>
      </c>
      <c r="F1613" s="123" t="s">
        <v>620</v>
      </c>
      <c r="R1613" s="123" t="s">
        <v>2961</v>
      </c>
      <c r="S1613" s="4"/>
    </row>
    <row r="1614" spans="2:28" x14ac:dyDescent="0.35">
      <c r="D1614" t="s">
        <v>4354</v>
      </c>
      <c r="F1614" s="100">
        <v>3.68</v>
      </c>
      <c r="R1614" s="1" t="s">
        <v>4353</v>
      </c>
      <c r="T1614" t="s">
        <v>0</v>
      </c>
    </row>
    <row r="1615" spans="2:28" x14ac:dyDescent="0.35">
      <c r="F1615" s="100"/>
      <c r="Q1615" s="1"/>
    </row>
    <row r="1616" spans="2:28" x14ac:dyDescent="0.35">
      <c r="B1616" s="83" t="s">
        <v>221</v>
      </c>
      <c r="D1616" s="488" t="s">
        <v>8241</v>
      </c>
      <c r="F1616" s="100"/>
      <c r="Q1616" s="1"/>
    </row>
    <row r="1617" spans="1:27" x14ac:dyDescent="0.35">
      <c r="D1617" s="488" t="s">
        <v>8242</v>
      </c>
      <c r="F1617" s="100"/>
      <c r="Q1617" s="1"/>
    </row>
    <row r="1618" spans="1:27" x14ac:dyDescent="0.35">
      <c r="D1618" s="488" t="s">
        <v>4703</v>
      </c>
      <c r="F1618" s="100"/>
      <c r="Q1618" s="1"/>
    </row>
    <row r="1619" spans="1:27" x14ac:dyDescent="0.35">
      <c r="D1619" s="488"/>
      <c r="F1619" s="100"/>
      <c r="Q1619" s="1"/>
    </row>
    <row r="1620" spans="1:27" x14ac:dyDescent="0.35">
      <c r="B1620" s="83" t="s">
        <v>8256</v>
      </c>
      <c r="D1620" t="s">
        <v>8258</v>
      </c>
      <c r="F1620" s="100"/>
      <c r="Q1620" s="1"/>
    </row>
    <row r="1621" spans="1:27" x14ac:dyDescent="0.35">
      <c r="D1621" s="488" t="s">
        <v>8257</v>
      </c>
      <c r="F1621" s="100"/>
      <c r="Q1621" s="1"/>
    </row>
    <row r="1622" spans="1:27" x14ac:dyDescent="0.35">
      <c r="D1622" t="s">
        <v>8255</v>
      </c>
      <c r="F1622" s="100"/>
      <c r="Q1622" s="1"/>
    </row>
    <row r="1623" spans="1:27" x14ac:dyDescent="0.35">
      <c r="F1623" s="100"/>
      <c r="Q1623" s="1"/>
    </row>
    <row r="1624" spans="1:27" x14ac:dyDescent="0.35">
      <c r="A1624" s="86" t="s">
        <v>7853</v>
      </c>
      <c r="B1624" s="5"/>
      <c r="C1624" s="5"/>
      <c r="D1624" s="360" t="s">
        <v>3323</v>
      </c>
      <c r="E1624" s="5"/>
      <c r="F1624" s="5"/>
      <c r="G1624" s="5"/>
      <c r="H1624" s="5"/>
      <c r="I1624" s="5"/>
      <c r="J1624" s="5"/>
      <c r="K1624" s="5"/>
      <c r="L1624" s="5"/>
      <c r="M1624" s="5"/>
      <c r="N1624" s="5"/>
      <c r="O1624" s="5"/>
      <c r="P1624" s="5"/>
      <c r="Q1624" s="5"/>
      <c r="R1624" s="5"/>
      <c r="S1624" s="5"/>
      <c r="T1624" s="5"/>
      <c r="U1624" s="5"/>
      <c r="V1624" s="5"/>
      <c r="W1624" s="5"/>
      <c r="X1624" s="5"/>
      <c r="Y1624" s="5"/>
      <c r="Z1624" s="5"/>
      <c r="AA1624" s="5"/>
    </row>
    <row r="1625" spans="1:27" x14ac:dyDescent="0.35">
      <c r="Q1625" s="1"/>
    </row>
    <row r="1626" spans="1:27" x14ac:dyDescent="0.35">
      <c r="B1626" s="83" t="s">
        <v>3365</v>
      </c>
      <c r="D1626" s="155" t="s">
        <v>8659</v>
      </c>
      <c r="F1626" s="1" t="s">
        <v>8658</v>
      </c>
      <c r="G1626" s="356"/>
      <c r="H1626" s="356"/>
      <c r="I1626" s="356"/>
      <c r="J1626" s="356"/>
      <c r="K1626" s="356"/>
      <c r="M1626" s="73"/>
      <c r="N1626" s="313"/>
      <c r="P1626" s="1"/>
    </row>
    <row r="1627" spans="1:27" x14ac:dyDescent="0.35">
      <c r="D1627" s="370" t="s">
        <v>3386</v>
      </c>
      <c r="F1627" s="367" t="s">
        <v>3385</v>
      </c>
      <c r="G1627" s="356"/>
      <c r="H1627" s="356"/>
      <c r="I1627" s="356"/>
      <c r="J1627" s="356"/>
      <c r="K1627" s="356"/>
      <c r="M1627" s="73"/>
      <c r="N1627" s="313"/>
      <c r="P1627" s="1"/>
    </row>
    <row r="1628" spans="1:27" x14ac:dyDescent="0.35">
      <c r="D1628" s="370" t="s">
        <v>3342</v>
      </c>
      <c r="F1628" s="368" t="s">
        <v>3378</v>
      </c>
      <c r="I1628" s="356"/>
      <c r="J1628" s="356"/>
      <c r="M1628" s="73"/>
      <c r="N1628" s="313"/>
      <c r="P1628" s="1"/>
    </row>
    <row r="1629" spans="1:27" x14ac:dyDescent="0.35">
      <c r="D1629" s="369" t="s">
        <v>3341</v>
      </c>
      <c r="F1629" s="368" t="s">
        <v>3340</v>
      </c>
      <c r="I1629" s="356"/>
      <c r="J1629" s="356"/>
      <c r="M1629" s="73"/>
      <c r="N1629" s="313"/>
      <c r="P1629" s="1"/>
    </row>
    <row r="1630" spans="1:27" x14ac:dyDescent="0.35">
      <c r="D1630" s="369" t="s">
        <v>3339</v>
      </c>
      <c r="F1630" s="368" t="s">
        <v>3325</v>
      </c>
      <c r="I1630" s="356"/>
      <c r="M1630" s="362" t="s">
        <v>3377</v>
      </c>
    </row>
    <row r="1631" spans="1:27" x14ac:dyDescent="0.35">
      <c r="D1631" s="369" t="s">
        <v>3338</v>
      </c>
      <c r="F1631" s="368" t="s">
        <v>3337</v>
      </c>
      <c r="I1631" s="356"/>
      <c r="M1631" s="362" t="s">
        <v>3377</v>
      </c>
      <c r="N1631" s="313"/>
      <c r="P1631" s="1"/>
    </row>
    <row r="1632" spans="1:27" x14ac:dyDescent="0.35">
      <c r="D1632" s="369" t="s">
        <v>3336</v>
      </c>
      <c r="F1632" s="368" t="s">
        <v>3335</v>
      </c>
      <c r="I1632" s="356"/>
      <c r="J1632" s="356"/>
      <c r="N1632" s="313"/>
      <c r="P1632" s="1"/>
    </row>
    <row r="1633" spans="2:26" x14ac:dyDescent="0.35">
      <c r="D1633" s="155" t="s">
        <v>8651</v>
      </c>
      <c r="F1633" s="1" t="s">
        <v>8646</v>
      </c>
      <c r="G1633" s="356"/>
      <c r="H1633" s="356"/>
      <c r="I1633" s="356"/>
      <c r="J1633" s="356"/>
      <c r="K1633" s="356"/>
      <c r="M1633" s="170" t="s">
        <v>8652</v>
      </c>
      <c r="N1633" s="313"/>
      <c r="P1633" s="1"/>
    </row>
    <row r="1634" spans="2:26" x14ac:dyDescent="0.35">
      <c r="C1634" s="170" t="s">
        <v>8210</v>
      </c>
      <c r="D1634" s="155" t="s">
        <v>8663</v>
      </c>
      <c r="F1634" s="1" t="s">
        <v>8662</v>
      </c>
      <c r="G1634" s="356"/>
      <c r="H1634" s="356"/>
      <c r="I1634" s="356"/>
      <c r="J1634" s="356"/>
      <c r="K1634" s="356"/>
      <c r="L1634" s="170"/>
      <c r="M1634" s="170" t="s">
        <v>9039</v>
      </c>
      <c r="N1634" s="313"/>
      <c r="P1634" s="1"/>
    </row>
    <row r="1635" spans="2:26" x14ac:dyDescent="0.35">
      <c r="D1635" s="155"/>
      <c r="F1635" s="1" t="s">
        <v>9040</v>
      </c>
      <c r="G1635" s="356"/>
      <c r="H1635" s="356"/>
      <c r="I1635" s="356"/>
      <c r="J1635" s="356"/>
      <c r="K1635" s="356"/>
      <c r="L1635" s="170"/>
      <c r="M1635" s="170" t="s">
        <v>9041</v>
      </c>
      <c r="N1635" s="313"/>
      <c r="P1635" s="1"/>
    </row>
    <row r="1636" spans="2:26" x14ac:dyDescent="0.35">
      <c r="C1636" s="170" t="s">
        <v>8210</v>
      </c>
      <c r="D1636" s="155" t="s">
        <v>9042</v>
      </c>
      <c r="F1636" s="1" t="s">
        <v>9043</v>
      </c>
      <c r="G1636" s="356"/>
      <c r="H1636" s="356"/>
      <c r="I1636" s="356"/>
      <c r="J1636" s="356"/>
      <c r="K1636" s="356"/>
      <c r="L1636" s="170"/>
      <c r="M1636" s="170" t="s">
        <v>9041</v>
      </c>
      <c r="N1636" s="313"/>
      <c r="P1636" s="1"/>
    </row>
    <row r="1637" spans="2:26" x14ac:dyDescent="0.35">
      <c r="C1637" s="170"/>
      <c r="D1637" s="155" t="s">
        <v>9544</v>
      </c>
      <c r="F1637" s="1" t="s">
        <v>9545</v>
      </c>
      <c r="G1637" s="356"/>
      <c r="H1637" s="356"/>
      <c r="I1637" s="356"/>
      <c r="J1637" s="356"/>
      <c r="K1637" s="356"/>
      <c r="L1637" s="170"/>
      <c r="M1637" s="170" t="s">
        <v>9041</v>
      </c>
      <c r="N1637" s="313"/>
      <c r="P1637" s="170" t="s">
        <v>9542</v>
      </c>
      <c r="S1637" s="170" t="s">
        <v>9546</v>
      </c>
      <c r="Z1637" t="s">
        <v>9543</v>
      </c>
    </row>
    <row r="1638" spans="2:26" x14ac:dyDescent="0.35">
      <c r="D1638" s="155"/>
      <c r="F1638" s="1"/>
      <c r="G1638" s="356"/>
      <c r="H1638" s="356"/>
      <c r="I1638" s="356"/>
      <c r="J1638" s="356"/>
      <c r="K1638" s="356"/>
      <c r="L1638" s="170"/>
      <c r="M1638" s="170"/>
      <c r="N1638" s="313"/>
      <c r="P1638" s="1"/>
    </row>
    <row r="1639" spans="2:26" x14ac:dyDescent="0.35">
      <c r="D1639" s="155"/>
      <c r="F1639" s="1"/>
      <c r="G1639" s="356"/>
      <c r="H1639" s="356"/>
      <c r="I1639" s="356"/>
      <c r="J1639" s="356"/>
      <c r="K1639" s="356"/>
      <c r="L1639" s="170"/>
      <c r="M1639" s="170"/>
      <c r="N1639" s="313"/>
      <c r="P1639" s="1"/>
    </row>
    <row r="1640" spans="2:26" x14ac:dyDescent="0.35">
      <c r="D1640" s="155"/>
      <c r="F1640" s="1"/>
      <c r="G1640" s="356"/>
      <c r="H1640" s="356"/>
      <c r="I1640" s="356"/>
      <c r="J1640" s="356"/>
      <c r="K1640" s="356"/>
      <c r="L1640" s="170"/>
      <c r="M1640" s="73"/>
      <c r="N1640" s="313"/>
      <c r="P1640" s="1"/>
    </row>
    <row r="1641" spans="2:26" ht="26.5" x14ac:dyDescent="0.35">
      <c r="B1641" s="83" t="s">
        <v>3322</v>
      </c>
      <c r="D1641" s="188" t="s">
        <v>3290</v>
      </c>
      <c r="E1641" s="4"/>
      <c r="F1641" s="357" t="s">
        <v>3364</v>
      </c>
      <c r="G1641" s="357" t="s">
        <v>3363</v>
      </c>
      <c r="H1641" s="357" t="s">
        <v>1862</v>
      </c>
      <c r="I1641" s="359" t="s">
        <v>99</v>
      </c>
      <c r="J1641" s="357"/>
      <c r="K1641" s="357"/>
      <c r="L1641" s="358"/>
      <c r="M1641" s="366"/>
      <c r="N1641" s="363" t="s">
        <v>3372</v>
      </c>
      <c r="O1641" s="357" t="s">
        <v>3362</v>
      </c>
      <c r="P1641" s="357" t="s">
        <v>3361</v>
      </c>
      <c r="Q1641" s="357" t="s">
        <v>3360</v>
      </c>
      <c r="R1641" s="357" t="s">
        <v>3376</v>
      </c>
      <c r="S1641" s="363" t="s">
        <v>3359</v>
      </c>
      <c r="T1641" s="357" t="s">
        <v>3358</v>
      </c>
    </row>
    <row r="1642" spans="2:26" x14ac:dyDescent="0.35">
      <c r="H1642" s="13"/>
      <c r="K1642" s="361"/>
      <c r="L1642" s="7"/>
      <c r="N1642" s="371"/>
      <c r="P1642" s="73"/>
      <c r="Q1642" s="53"/>
      <c r="S1642" s="372"/>
      <c r="T1642" s="353"/>
      <c r="W1642" s="1"/>
    </row>
    <row r="1643" spans="2:26" x14ac:dyDescent="0.35">
      <c r="D1643" s="816" t="s">
        <v>6873</v>
      </c>
      <c r="F1643" s="13">
        <v>3</v>
      </c>
      <c r="G1643" s="13">
        <v>3</v>
      </c>
      <c r="H1643" s="13">
        <f>G1643*F1643</f>
        <v>9</v>
      </c>
      <c r="I1643" t="s">
        <v>7706</v>
      </c>
      <c r="K1643" s="7"/>
      <c r="L1643" s="7"/>
      <c r="N1643" s="104"/>
      <c r="O1643" s="7"/>
      <c r="R1643" s="1" t="s">
        <v>3401</v>
      </c>
      <c r="S1643" s="104">
        <v>131</v>
      </c>
      <c r="T1643">
        <v>206</v>
      </c>
    </row>
    <row r="1644" spans="2:26" x14ac:dyDescent="0.35">
      <c r="D1644" s="816" t="s">
        <v>3319</v>
      </c>
      <c r="F1644" s="13">
        <v>3</v>
      </c>
      <c r="G1644" s="13">
        <v>3</v>
      </c>
      <c r="H1644" s="13">
        <f>G1644*F1644</f>
        <v>9</v>
      </c>
      <c r="I1644" t="s">
        <v>3402</v>
      </c>
      <c r="K1644" s="7"/>
      <c r="L1644" s="7"/>
      <c r="N1644" s="104"/>
      <c r="O1644" s="7"/>
      <c r="R1644" s="1" t="s">
        <v>3401</v>
      </c>
      <c r="S1644" s="104">
        <v>131</v>
      </c>
      <c r="T1644">
        <v>206</v>
      </c>
    </row>
    <row r="1645" spans="2:26" x14ac:dyDescent="0.35">
      <c r="D1645" s="816" t="s">
        <v>3302</v>
      </c>
      <c r="F1645" s="13">
        <v>3</v>
      </c>
      <c r="G1645" s="13">
        <v>3</v>
      </c>
      <c r="H1645" s="13">
        <f>G1645*F1645</f>
        <v>9</v>
      </c>
      <c r="I1645" t="s">
        <v>7561</v>
      </c>
      <c r="K1645" s="7"/>
      <c r="L1645" s="7"/>
      <c r="N1645" s="104"/>
      <c r="O1645" s="7"/>
      <c r="R1645" s="7"/>
      <c r="S1645" s="104">
        <v>131</v>
      </c>
      <c r="T1645">
        <v>206</v>
      </c>
    </row>
    <row r="1646" spans="2:26" x14ac:dyDescent="0.35">
      <c r="D1646" s="816"/>
      <c r="F1646" s="13"/>
      <c r="G1646" s="13"/>
      <c r="H1646" s="13"/>
      <c r="K1646" s="7"/>
      <c r="L1646" s="7"/>
      <c r="N1646" s="104"/>
      <c r="O1646" s="7"/>
      <c r="R1646" s="7"/>
      <c r="S1646" s="104"/>
    </row>
    <row r="1647" spans="2:26" x14ac:dyDescent="0.35">
      <c r="D1647" s="816" t="s">
        <v>7562</v>
      </c>
      <c r="F1647" s="13">
        <v>2.4</v>
      </c>
      <c r="G1647" s="13">
        <v>2.2000000000000002</v>
      </c>
      <c r="H1647" s="13">
        <f t="shared" ref="H1647:H1648" si="73">G1647*F1647</f>
        <v>5.28</v>
      </c>
      <c r="I1647" t="s">
        <v>7558</v>
      </c>
      <c r="K1647" s="7"/>
      <c r="L1647" s="7"/>
      <c r="N1647" s="104"/>
      <c r="O1647" s="7"/>
      <c r="R1647" s="1" t="s">
        <v>3403</v>
      </c>
      <c r="S1647" s="104" t="s">
        <v>0</v>
      </c>
    </row>
    <row r="1648" spans="2:26" x14ac:dyDescent="0.35">
      <c r="D1648" s="816" t="s">
        <v>7563</v>
      </c>
      <c r="F1648" s="13">
        <v>2.4</v>
      </c>
      <c r="G1648" s="13">
        <v>2.2000000000000002</v>
      </c>
      <c r="H1648" s="13">
        <f t="shared" si="73"/>
        <v>5.28</v>
      </c>
      <c r="I1648" t="s">
        <v>7559</v>
      </c>
      <c r="K1648" s="7"/>
      <c r="L1648" s="7"/>
      <c r="N1648" s="104"/>
      <c r="O1648" s="7"/>
      <c r="R1648" s="1" t="s">
        <v>3400</v>
      </c>
      <c r="S1648" s="104" t="s">
        <v>0</v>
      </c>
    </row>
    <row r="1649" spans="4:27" x14ac:dyDescent="0.35">
      <c r="D1649" s="816"/>
      <c r="F1649" s="13"/>
      <c r="G1649" s="13"/>
      <c r="H1649" s="13"/>
      <c r="K1649" s="7"/>
      <c r="L1649" s="7"/>
      <c r="N1649" s="104"/>
      <c r="O1649" s="7"/>
      <c r="R1649" s="1"/>
      <c r="S1649" s="104"/>
    </row>
    <row r="1650" spans="4:27" x14ac:dyDescent="0.35">
      <c r="D1650" s="816" t="s">
        <v>5532</v>
      </c>
      <c r="F1650" s="13">
        <v>1.7</v>
      </c>
      <c r="G1650" s="13">
        <v>1.7</v>
      </c>
      <c r="H1650" s="13">
        <f t="shared" ref="H1650" si="74">G1650*F1650</f>
        <v>2.8899999999999997</v>
      </c>
      <c r="I1650" t="s">
        <v>5533</v>
      </c>
      <c r="K1650" s="7"/>
      <c r="L1650" s="7"/>
      <c r="N1650" s="104"/>
      <c r="O1650" s="7"/>
      <c r="R1650" s="1" t="s">
        <v>7560</v>
      </c>
      <c r="S1650" s="104" t="s">
        <v>0</v>
      </c>
    </row>
    <row r="1651" spans="4:27" x14ac:dyDescent="0.35">
      <c r="D1651" s="816"/>
      <c r="F1651" s="13"/>
      <c r="G1651" s="13"/>
      <c r="H1651" s="13"/>
      <c r="I1651" s="254"/>
      <c r="K1651" s="7"/>
      <c r="L1651" s="7"/>
      <c r="N1651" s="104"/>
      <c r="O1651" s="354"/>
      <c r="R1651" s="1"/>
      <c r="S1651" s="104"/>
      <c r="AA1651" s="1"/>
    </row>
    <row r="1652" spans="4:27" x14ac:dyDescent="0.35">
      <c r="D1652" s="816" t="s">
        <v>3357</v>
      </c>
      <c r="F1652" s="13">
        <v>4.5999999999999996</v>
      </c>
      <c r="G1652" s="13">
        <v>4.2</v>
      </c>
      <c r="H1652" s="13">
        <f>G1652*F1652</f>
        <v>19.32</v>
      </c>
      <c r="I1652" t="s">
        <v>3356</v>
      </c>
      <c r="K1652" s="7"/>
      <c r="L1652" s="7"/>
      <c r="N1652" s="104"/>
      <c r="O1652" s="7" t="s">
        <v>3355</v>
      </c>
      <c r="P1652" s="353" t="s">
        <v>3354</v>
      </c>
      <c r="Q1652" s="353" t="s">
        <v>3353</v>
      </c>
      <c r="R1652" s="7" t="s">
        <v>0</v>
      </c>
      <c r="S1652" s="104">
        <v>9</v>
      </c>
      <c r="T1652">
        <v>52</v>
      </c>
      <c r="AA1652" s="1"/>
    </row>
    <row r="1653" spans="4:27" x14ac:dyDescent="0.35">
      <c r="D1653" s="816" t="s">
        <v>3352</v>
      </c>
      <c r="F1653" s="13">
        <v>6.7</v>
      </c>
      <c r="G1653" s="13">
        <v>7.3</v>
      </c>
      <c r="H1653" s="13">
        <f>G1653*F1653</f>
        <v>48.91</v>
      </c>
      <c r="I1653" s="254" t="s">
        <v>3351</v>
      </c>
      <c r="K1653" s="7"/>
      <c r="L1653" s="7"/>
      <c r="N1653" s="104"/>
      <c r="O1653" s="354" t="s">
        <v>3350</v>
      </c>
      <c r="P1653" t="s">
        <v>3349</v>
      </c>
      <c r="R1653" s="7"/>
      <c r="S1653" s="104">
        <v>15</v>
      </c>
      <c r="T1653">
        <v>136</v>
      </c>
      <c r="AA1653" s="1"/>
    </row>
    <row r="1654" spans="4:27" x14ac:dyDescent="0.35">
      <c r="D1654" s="816"/>
      <c r="F1654" s="13"/>
      <c r="G1654" s="13"/>
      <c r="H1654" s="13"/>
      <c r="I1654" s="254"/>
      <c r="K1654" s="7"/>
      <c r="L1654" s="7"/>
      <c r="N1654" s="104"/>
      <c r="O1654" s="354"/>
      <c r="S1654" s="104"/>
      <c r="AA1654" s="1"/>
    </row>
    <row r="1655" spans="4:27" x14ac:dyDescent="0.35">
      <c r="D1655" s="816" t="s">
        <v>8033</v>
      </c>
      <c r="F1655" s="13">
        <v>3.7</v>
      </c>
      <c r="G1655" s="13">
        <v>1.9</v>
      </c>
      <c r="H1655" s="13">
        <f>G1655*F1655</f>
        <v>7.03</v>
      </c>
      <c r="I1655" s="254" t="s">
        <v>8034</v>
      </c>
      <c r="K1655" s="7"/>
      <c r="L1655" s="7"/>
      <c r="N1655" s="104"/>
      <c r="O1655" s="354" t="s">
        <v>0</v>
      </c>
      <c r="R1655" s="1" t="s">
        <v>8035</v>
      </c>
      <c r="S1655" s="104" t="s">
        <v>0</v>
      </c>
      <c r="AA1655" s="1"/>
    </row>
    <row r="1656" spans="4:27" x14ac:dyDescent="0.35">
      <c r="D1656" s="816"/>
      <c r="F1656" s="13"/>
      <c r="G1656" s="13"/>
      <c r="H1656" s="13"/>
      <c r="I1656" s="254"/>
      <c r="K1656" s="7"/>
      <c r="L1656" s="7"/>
      <c r="N1656" s="104"/>
      <c r="O1656" s="354"/>
      <c r="R1656" s="7"/>
      <c r="S1656" s="104"/>
      <c r="AA1656" s="1"/>
    </row>
    <row r="1657" spans="4:27" x14ac:dyDescent="0.35">
      <c r="D1657" s="816" t="s">
        <v>3115</v>
      </c>
      <c r="F1657" s="13">
        <v>10</v>
      </c>
      <c r="G1657" s="13">
        <v>6.7</v>
      </c>
      <c r="H1657" s="13">
        <f t="shared" ref="H1657:H1658" si="75">G1657*F1657</f>
        <v>67</v>
      </c>
      <c r="I1657" s="254" t="s">
        <v>3348</v>
      </c>
      <c r="K1657" s="7"/>
      <c r="L1657" s="7"/>
      <c r="N1657" s="104"/>
      <c r="O1657" s="354" t="s">
        <v>3347</v>
      </c>
      <c r="P1657" t="s">
        <v>0</v>
      </c>
      <c r="R1657" s="7"/>
      <c r="S1657" s="104"/>
    </row>
    <row r="1658" spans="4:27" x14ac:dyDescent="0.35">
      <c r="D1658" s="816" t="s">
        <v>3346</v>
      </c>
      <c r="F1658" s="13">
        <v>10.3</v>
      </c>
      <c r="G1658" s="13">
        <v>15.2</v>
      </c>
      <c r="H1658" s="13">
        <f t="shared" si="75"/>
        <v>156.56</v>
      </c>
      <c r="I1658" s="355" t="s">
        <v>3406</v>
      </c>
      <c r="K1658" s="7"/>
      <c r="L1658" s="7"/>
      <c r="N1658" s="104"/>
      <c r="O1658" s="354" t="s">
        <v>3345</v>
      </c>
      <c r="P1658" t="s">
        <v>3344</v>
      </c>
      <c r="Q1658" t="s">
        <v>3343</v>
      </c>
      <c r="R1658" s="7"/>
      <c r="S1658" s="104">
        <v>2</v>
      </c>
      <c r="AA1658" s="1"/>
    </row>
    <row r="1659" spans="4:27" x14ac:dyDescent="0.35">
      <c r="D1659" s="816"/>
      <c r="F1659" s="13"/>
      <c r="G1659" s="13"/>
      <c r="H1659" s="13"/>
      <c r="I1659" s="254"/>
      <c r="K1659" s="7"/>
      <c r="L1659" s="7"/>
      <c r="N1659" s="104"/>
      <c r="Q1659" t="s">
        <v>0</v>
      </c>
      <c r="S1659" s="104"/>
      <c r="AA1659" s="1"/>
    </row>
    <row r="1660" spans="4:27" x14ac:dyDescent="0.35">
      <c r="D1660" s="816" t="s">
        <v>3324</v>
      </c>
      <c r="F1660" s="13">
        <v>6.2</v>
      </c>
      <c r="G1660" s="13">
        <v>4.9800000000000004</v>
      </c>
      <c r="H1660" s="13">
        <f t="shared" ref="H1660:H1662" si="76">G1660*F1660</f>
        <v>30.876000000000005</v>
      </c>
      <c r="I1660" t="s">
        <v>3366</v>
      </c>
      <c r="J1660" s="353"/>
      <c r="K1660" s="354"/>
      <c r="L1660" s="7"/>
      <c r="N1660" s="104"/>
      <c r="P1660" s="353" t="s">
        <v>3325</v>
      </c>
      <c r="Q1660" t="s">
        <v>0</v>
      </c>
      <c r="R1660" t="s">
        <v>0</v>
      </c>
      <c r="S1660" s="104"/>
      <c r="AA1660" s="1"/>
    </row>
    <row r="1661" spans="4:27" x14ac:dyDescent="0.35">
      <c r="D1661" s="816" t="s">
        <v>3326</v>
      </c>
      <c r="F1661" s="13">
        <v>6.2</v>
      </c>
      <c r="G1661" s="13">
        <v>8.74</v>
      </c>
      <c r="H1661" s="13">
        <f t="shared" si="76"/>
        <v>54.188000000000002</v>
      </c>
      <c r="I1661" t="s">
        <v>3367</v>
      </c>
      <c r="K1661" s="332"/>
      <c r="N1661" s="104"/>
      <c r="O1661" s="73"/>
      <c r="P1661" s="353" t="s">
        <v>3325</v>
      </c>
      <c r="Q1661" t="s">
        <v>0</v>
      </c>
      <c r="R1661" t="s">
        <v>0</v>
      </c>
      <c r="S1661" s="373"/>
      <c r="T1661" s="313"/>
      <c r="AA1661" s="1"/>
    </row>
    <row r="1662" spans="4:27" x14ac:dyDescent="0.35">
      <c r="D1662" s="816" t="s">
        <v>3327</v>
      </c>
      <c r="F1662" s="13">
        <v>6.2</v>
      </c>
      <c r="G1662" s="13">
        <v>10.01</v>
      </c>
      <c r="H1662" s="13">
        <f t="shared" si="76"/>
        <v>62.061999999999998</v>
      </c>
      <c r="I1662" t="s">
        <v>3368</v>
      </c>
      <c r="K1662" s="332"/>
      <c r="N1662" s="104"/>
      <c r="O1662" s="73"/>
      <c r="P1662" s="353" t="s">
        <v>3325</v>
      </c>
      <c r="Q1662" t="s">
        <v>0</v>
      </c>
      <c r="R1662" t="s">
        <v>0</v>
      </c>
      <c r="S1662" s="373"/>
      <c r="T1662" s="313"/>
      <c r="AA1662" s="1"/>
    </row>
    <row r="1663" spans="4:27" x14ac:dyDescent="0.35">
      <c r="D1663" s="816"/>
      <c r="F1663" s="13"/>
      <c r="G1663" s="13"/>
      <c r="H1663" s="13"/>
      <c r="J1663" s="332"/>
      <c r="K1663" s="73"/>
      <c r="M1663" s="53"/>
      <c r="N1663" s="104"/>
      <c r="O1663" s="73"/>
      <c r="P1663" s="313"/>
      <c r="R1663" s="1"/>
      <c r="S1663" s="104"/>
    </row>
    <row r="1664" spans="4:27" x14ac:dyDescent="0.35">
      <c r="D1664" s="816" t="s">
        <v>3328</v>
      </c>
      <c r="F1664" s="13">
        <v>6.4</v>
      </c>
      <c r="G1664" s="13">
        <v>3.1</v>
      </c>
      <c r="H1664" s="13">
        <f t="shared" ref="H1664:H1666" si="77">G1664*F1664</f>
        <v>19.840000000000003</v>
      </c>
      <c r="I1664" t="s">
        <v>3329</v>
      </c>
      <c r="L1664" s="332"/>
      <c r="N1664" s="104"/>
      <c r="P1664" s="353" t="s">
        <v>3334</v>
      </c>
      <c r="Q1664" t="s">
        <v>0</v>
      </c>
      <c r="R1664" s="1" t="s">
        <v>3382</v>
      </c>
      <c r="S1664" s="373" t="s">
        <v>0</v>
      </c>
      <c r="T1664" s="313"/>
      <c r="AA1664" s="1"/>
    </row>
    <row r="1665" spans="1:28" x14ac:dyDescent="0.35">
      <c r="D1665" s="815" t="s">
        <v>3330</v>
      </c>
      <c r="F1665" s="13">
        <v>6.4</v>
      </c>
      <c r="G1665" s="13">
        <v>5.0999999999999996</v>
      </c>
      <c r="H1665" s="13">
        <f t="shared" si="77"/>
        <v>32.64</v>
      </c>
      <c r="I1665" t="s">
        <v>3331</v>
      </c>
      <c r="L1665" s="332"/>
      <c r="N1665" s="104"/>
      <c r="P1665" s="73"/>
      <c r="Q1665" s="353"/>
      <c r="S1665" s="373"/>
      <c r="T1665" s="313"/>
      <c r="AA1665" s="1"/>
    </row>
    <row r="1666" spans="1:28" x14ac:dyDescent="0.35">
      <c r="D1666" s="816" t="s">
        <v>3332</v>
      </c>
      <c r="F1666" s="13">
        <v>6.4</v>
      </c>
      <c r="G1666" s="13">
        <v>5.4</v>
      </c>
      <c r="H1666" s="13">
        <f t="shared" si="77"/>
        <v>34.56</v>
      </c>
      <c r="I1666" t="s">
        <v>3333</v>
      </c>
      <c r="L1666" s="332"/>
      <c r="N1666" s="104"/>
      <c r="P1666" s="73"/>
      <c r="Q1666" s="353"/>
      <c r="R1666" s="1"/>
      <c r="S1666" s="373" t="s">
        <v>0</v>
      </c>
      <c r="T1666" s="313"/>
      <c r="AA1666" s="21"/>
      <c r="AB1666" s="2"/>
    </row>
    <row r="1667" spans="1:28" x14ac:dyDescent="0.35">
      <c r="D1667" s="816"/>
      <c r="F1667" s="13"/>
      <c r="G1667" s="13"/>
      <c r="H1667" s="13"/>
      <c r="K1667" s="332"/>
      <c r="N1667" s="104"/>
      <c r="O1667" s="73"/>
      <c r="Q1667" s="353"/>
      <c r="S1667" s="373"/>
      <c r="T1667" s="313"/>
      <c r="AA1667" s="21"/>
      <c r="AB1667" s="2"/>
    </row>
    <row r="1668" spans="1:28" x14ac:dyDescent="0.35">
      <c r="D1668" s="816" t="s">
        <v>3369</v>
      </c>
      <c r="F1668" s="13">
        <v>1</v>
      </c>
      <c r="G1668" s="13">
        <v>0.5</v>
      </c>
      <c r="H1668" s="13">
        <f t="shared" ref="H1668:H1673" si="78">G1668*F1668</f>
        <v>0.5</v>
      </c>
      <c r="I1668" t="s">
        <v>7748</v>
      </c>
      <c r="K1668" s="332"/>
      <c r="N1668" s="364" t="s">
        <v>3337</v>
      </c>
      <c r="O1668" s="73" t="s">
        <v>0</v>
      </c>
      <c r="Q1668" s="353"/>
      <c r="S1668" s="373"/>
      <c r="T1668" s="313"/>
      <c r="AA1668" s="1"/>
    </row>
    <row r="1669" spans="1:28" x14ac:dyDescent="0.35">
      <c r="D1669" s="816" t="s">
        <v>3370</v>
      </c>
      <c r="F1669" s="13">
        <v>1.5</v>
      </c>
      <c r="G1669" s="13">
        <v>0.85</v>
      </c>
      <c r="H1669" s="13">
        <f t="shared" si="78"/>
        <v>1.2749999999999999</v>
      </c>
      <c r="I1669" t="s">
        <v>7744</v>
      </c>
      <c r="K1669" s="332"/>
      <c r="N1669" s="104"/>
      <c r="O1669" s="73"/>
      <c r="Q1669" s="353"/>
      <c r="S1669" s="373"/>
      <c r="T1669" s="313"/>
      <c r="AA1669" s="1"/>
    </row>
    <row r="1670" spans="1:28" x14ac:dyDescent="0.35">
      <c r="D1670" s="816" t="s">
        <v>3371</v>
      </c>
      <c r="F1670" s="13">
        <v>2</v>
      </c>
      <c r="G1670" s="13">
        <v>1.25</v>
      </c>
      <c r="H1670" s="13">
        <f t="shared" si="78"/>
        <v>2.5</v>
      </c>
      <c r="I1670" t="s">
        <v>7745</v>
      </c>
      <c r="K1670" s="332"/>
      <c r="N1670" s="104"/>
      <c r="O1670" s="73"/>
      <c r="Q1670" s="353"/>
      <c r="S1670" s="373"/>
      <c r="T1670" t="s">
        <v>3391</v>
      </c>
      <c r="AA1670" s="1"/>
    </row>
    <row r="1671" spans="1:28" x14ac:dyDescent="0.35">
      <c r="D1671" s="817">
        <v>1206</v>
      </c>
      <c r="F1671" s="13">
        <v>3.2</v>
      </c>
      <c r="G1671" s="13">
        <v>1.6</v>
      </c>
      <c r="H1671" s="13">
        <f t="shared" si="78"/>
        <v>5.120000000000001</v>
      </c>
      <c r="I1671" t="s">
        <v>7746</v>
      </c>
      <c r="K1671" s="332"/>
      <c r="N1671" s="104"/>
      <c r="O1671" s="73"/>
      <c r="Q1671" s="53"/>
      <c r="S1671" s="373"/>
      <c r="T1671" s="313"/>
    </row>
    <row r="1672" spans="1:28" x14ac:dyDescent="0.35">
      <c r="D1672" s="817">
        <v>1210</v>
      </c>
      <c r="F1672" s="13">
        <v>3.2</v>
      </c>
      <c r="G1672" s="13">
        <v>2.5</v>
      </c>
      <c r="H1672" s="13">
        <f t="shared" si="78"/>
        <v>8</v>
      </c>
      <c r="I1672" t="s">
        <v>7747</v>
      </c>
      <c r="K1672" s="332"/>
      <c r="N1672" s="104"/>
      <c r="O1672" s="73"/>
      <c r="Q1672" s="53"/>
      <c r="S1672" s="373"/>
      <c r="T1672" s="313"/>
      <c r="U1672" s="1"/>
    </row>
    <row r="1673" spans="1:28" x14ac:dyDescent="0.35">
      <c r="D1673" s="817">
        <v>2512</v>
      </c>
      <c r="F1673" s="13">
        <v>6.3</v>
      </c>
      <c r="G1673" s="13">
        <v>3.1</v>
      </c>
      <c r="H1673" s="13">
        <f t="shared" si="78"/>
        <v>19.53</v>
      </c>
      <c r="I1673" t="s">
        <v>7749</v>
      </c>
      <c r="K1673" s="332"/>
      <c r="L1673" s="73"/>
      <c r="N1673" s="365"/>
      <c r="P1673" s="73"/>
      <c r="Q1673" s="313"/>
      <c r="S1673" s="364"/>
    </row>
    <row r="1674" spans="1:28" x14ac:dyDescent="0.35">
      <c r="A1674"/>
      <c r="B1674" s="253"/>
      <c r="D1674" s="816"/>
      <c r="F1674" s="13"/>
      <c r="G1674" s="13"/>
      <c r="H1674" s="13"/>
      <c r="N1674" s="104"/>
      <c r="S1674" s="104"/>
    </row>
    <row r="1675" spans="1:28" x14ac:dyDescent="0.35">
      <c r="A1675"/>
      <c r="B1675" s="253"/>
      <c r="D1675" s="816" t="s">
        <v>3373</v>
      </c>
      <c r="F1675" s="13">
        <v>5.6</v>
      </c>
      <c r="G1675" s="13">
        <v>3.9</v>
      </c>
      <c r="H1675" s="13">
        <f t="shared" ref="H1675:H1679" si="79">G1675*F1675</f>
        <v>21.84</v>
      </c>
      <c r="I1675" t="s">
        <v>3375</v>
      </c>
      <c r="N1675" s="104"/>
      <c r="R1675" s="1" t="s">
        <v>3379</v>
      </c>
      <c r="S1675" s="104" t="s">
        <v>0</v>
      </c>
    </row>
    <row r="1676" spans="1:28" x14ac:dyDescent="0.35">
      <c r="A1676"/>
      <c r="B1676" s="253"/>
      <c r="D1676" s="816" t="s">
        <v>3374</v>
      </c>
      <c r="F1676" s="13">
        <v>5.3</v>
      </c>
      <c r="G1676" s="13">
        <v>2.9</v>
      </c>
      <c r="H1676" s="13">
        <f t="shared" si="79"/>
        <v>15.37</v>
      </c>
      <c r="I1676" t="s">
        <v>3381</v>
      </c>
      <c r="N1676" s="104"/>
      <c r="R1676" s="1" t="s">
        <v>3380</v>
      </c>
      <c r="S1676" s="104" t="s">
        <v>0</v>
      </c>
    </row>
    <row r="1677" spans="1:28" x14ac:dyDescent="0.35">
      <c r="A1677"/>
      <c r="B1677" s="253"/>
      <c r="D1677" s="816"/>
      <c r="F1677" s="13"/>
      <c r="G1677" s="13"/>
      <c r="H1677" s="13"/>
      <c r="N1677" s="104"/>
      <c r="R1677" s="1"/>
      <c r="S1677" s="104"/>
    </row>
    <row r="1678" spans="1:28" x14ac:dyDescent="0.35">
      <c r="A1678"/>
      <c r="B1678" s="253"/>
      <c r="D1678" s="816" t="s">
        <v>3383</v>
      </c>
      <c r="F1678" s="13">
        <v>7</v>
      </c>
      <c r="G1678" s="13">
        <v>7</v>
      </c>
      <c r="H1678" s="13">
        <f t="shared" si="79"/>
        <v>49</v>
      </c>
      <c r="I1678" t="s">
        <v>9549</v>
      </c>
      <c r="N1678" s="104"/>
      <c r="R1678" s="1" t="s">
        <v>3384</v>
      </c>
      <c r="S1678" s="104" t="s">
        <v>0</v>
      </c>
    </row>
    <row r="1679" spans="1:28" x14ac:dyDescent="0.35">
      <c r="A1679"/>
      <c r="B1679" s="253"/>
      <c r="D1679" s="816" t="s">
        <v>9548</v>
      </c>
      <c r="F1679" s="13">
        <v>10</v>
      </c>
      <c r="G1679" s="13">
        <v>10</v>
      </c>
      <c r="H1679" s="13">
        <f t="shared" si="79"/>
        <v>100</v>
      </c>
      <c r="I1679" t="s">
        <v>9549</v>
      </c>
      <c r="N1679" s="104"/>
      <c r="R1679" s="1" t="s">
        <v>9547</v>
      </c>
      <c r="S1679" s="104" t="s">
        <v>0</v>
      </c>
    </row>
    <row r="1680" spans="1:28" x14ac:dyDescent="0.35">
      <c r="A1680"/>
      <c r="B1680" s="253"/>
      <c r="D1680" s="816"/>
      <c r="F1680" s="13"/>
      <c r="G1680" s="13"/>
      <c r="H1680" s="13"/>
      <c r="N1680" s="104"/>
      <c r="R1680" s="1"/>
      <c r="S1680" s="104"/>
    </row>
    <row r="1681" spans="1:27" x14ac:dyDescent="0.35">
      <c r="D1681" s="816" t="s">
        <v>3392</v>
      </c>
      <c r="F1681" s="13">
        <v>10.5</v>
      </c>
      <c r="G1681" s="13">
        <v>6</v>
      </c>
      <c r="H1681" s="13">
        <f>G1681*F1681</f>
        <v>63</v>
      </c>
      <c r="I1681" t="s">
        <v>3394</v>
      </c>
      <c r="J1681" s="332"/>
      <c r="K1681" s="73"/>
      <c r="M1681" s="53"/>
      <c r="N1681" s="104"/>
      <c r="O1681" s="73"/>
      <c r="P1681" s="313"/>
      <c r="R1681" s="1" t="s">
        <v>3393</v>
      </c>
      <c r="S1681" s="104" t="s">
        <v>0</v>
      </c>
      <c r="T1681" s="313"/>
      <c r="AA1681" s="1"/>
    </row>
    <row r="1682" spans="1:27" x14ac:dyDescent="0.35">
      <c r="D1682" s="816" t="s">
        <v>3387</v>
      </c>
      <c r="F1682" s="13">
        <v>3.2</v>
      </c>
      <c r="G1682" s="13">
        <v>1.5</v>
      </c>
      <c r="H1682" s="13">
        <f>G1682*F1682</f>
        <v>4.8000000000000007</v>
      </c>
      <c r="I1682" t="s">
        <v>3389</v>
      </c>
      <c r="J1682" s="332"/>
      <c r="K1682" s="73"/>
      <c r="M1682" s="53"/>
      <c r="N1682" s="104"/>
      <c r="O1682" s="73"/>
      <c r="P1682" s="313"/>
      <c r="R1682" s="1" t="s">
        <v>3388</v>
      </c>
      <c r="S1682" s="104" t="s">
        <v>0</v>
      </c>
    </row>
    <row r="1684" spans="1:27" s="5" customFormat="1" x14ac:dyDescent="0.35">
      <c r="A1684" s="86" t="s">
        <v>7854</v>
      </c>
    </row>
    <row r="1686" spans="1:27" ht="15.5" x14ac:dyDescent="0.35">
      <c r="B1686" s="83" t="s">
        <v>7790</v>
      </c>
      <c r="D1686" t="s">
        <v>8321</v>
      </c>
      <c r="H1686" t="s">
        <v>7792</v>
      </c>
      <c r="O1686" s="883" t="s">
        <v>7793</v>
      </c>
      <c r="P1686" s="872"/>
      <c r="Q1686" s="872"/>
      <c r="R1686" s="872"/>
      <c r="S1686" s="904" t="s">
        <v>9362</v>
      </c>
    </row>
    <row r="1687" spans="1:27" x14ac:dyDescent="0.35">
      <c r="D1687" t="s">
        <v>8335</v>
      </c>
      <c r="H1687" t="s">
        <v>8333</v>
      </c>
      <c r="O1687" s="883" t="s">
        <v>7793</v>
      </c>
      <c r="P1687" s="872"/>
      <c r="Q1687" s="872"/>
      <c r="R1687" s="872"/>
      <c r="S1687" s="1"/>
    </row>
    <row r="1688" spans="1:27" x14ac:dyDescent="0.35">
      <c r="D1688" t="s">
        <v>8336</v>
      </c>
      <c r="H1688" t="s">
        <v>8332</v>
      </c>
      <c r="O1688" s="883" t="s">
        <v>7793</v>
      </c>
      <c r="P1688" s="872"/>
      <c r="Q1688" s="872"/>
      <c r="R1688" s="872"/>
      <c r="S1688" s="1"/>
    </row>
    <row r="1689" spans="1:27" x14ac:dyDescent="0.35">
      <c r="O1689" s="883"/>
      <c r="P1689" s="872"/>
      <c r="Q1689" s="872"/>
      <c r="R1689" s="872"/>
      <c r="S1689" s="1"/>
    </row>
    <row r="1690" spans="1:27" x14ac:dyDescent="0.35">
      <c r="B1690" s="83" t="s">
        <v>7230</v>
      </c>
      <c r="D1690" t="s">
        <v>8314</v>
      </c>
      <c r="H1690" t="s">
        <v>7795</v>
      </c>
      <c r="O1690" s="883" t="s">
        <v>7793</v>
      </c>
      <c r="P1690" s="872"/>
      <c r="Q1690" s="872"/>
      <c r="R1690" s="872"/>
      <c r="S1690" s="1"/>
    </row>
    <row r="1691" spans="1:27" x14ac:dyDescent="0.35">
      <c r="D1691" t="s">
        <v>8315</v>
      </c>
      <c r="H1691" t="s">
        <v>7794</v>
      </c>
      <c r="O1691" s="883" t="s">
        <v>7793</v>
      </c>
      <c r="P1691" s="872"/>
      <c r="Q1691" s="872"/>
      <c r="R1691" s="872"/>
      <c r="S1691" s="1"/>
    </row>
    <row r="1692" spans="1:27" x14ac:dyDescent="0.35">
      <c r="O1692" s="489"/>
      <c r="P1692" s="872"/>
      <c r="Q1692" s="872"/>
      <c r="R1692" s="872"/>
      <c r="S1692" s="1"/>
    </row>
    <row r="1693" spans="1:27" x14ac:dyDescent="0.35">
      <c r="B1693" s="83" t="s">
        <v>7802</v>
      </c>
      <c r="D1693" t="s">
        <v>8311</v>
      </c>
      <c r="H1693" t="s">
        <v>8330</v>
      </c>
      <c r="O1693" s="883" t="s">
        <v>7793</v>
      </c>
      <c r="P1693" s="872"/>
      <c r="Q1693" s="872"/>
      <c r="R1693" s="872"/>
      <c r="S1693" s="1"/>
    </row>
    <row r="1694" spans="1:27" x14ac:dyDescent="0.35">
      <c r="D1694" t="s">
        <v>8306</v>
      </c>
      <c r="H1694" t="s">
        <v>7796</v>
      </c>
      <c r="O1694" s="883" t="s">
        <v>7793</v>
      </c>
      <c r="P1694" s="872"/>
      <c r="Q1694" s="872"/>
      <c r="R1694" s="872"/>
      <c r="S1694" s="1"/>
    </row>
    <row r="1695" spans="1:27" x14ac:dyDescent="0.35">
      <c r="D1695" t="s">
        <v>8312</v>
      </c>
      <c r="H1695" t="s">
        <v>8331</v>
      </c>
      <c r="O1695" s="883" t="s">
        <v>7793</v>
      </c>
      <c r="S1695" s="1"/>
    </row>
    <row r="1696" spans="1:27" x14ac:dyDescent="0.35">
      <c r="D1696" t="s">
        <v>8313</v>
      </c>
      <c r="H1696" t="s">
        <v>8329</v>
      </c>
      <c r="O1696" s="883" t="s">
        <v>7793</v>
      </c>
      <c r="S1696" s="1"/>
    </row>
    <row r="1697" spans="2:24" x14ac:dyDescent="0.35">
      <c r="O1697" s="489"/>
      <c r="S1697" s="1"/>
    </row>
    <row r="1698" spans="2:24" x14ac:dyDescent="0.35">
      <c r="B1698" s="83" t="s">
        <v>51</v>
      </c>
      <c r="D1698" t="s">
        <v>8308</v>
      </c>
      <c r="E1698" s="155"/>
      <c r="F1698" s="155"/>
      <c r="H1698" s="155" t="s">
        <v>7816</v>
      </c>
      <c r="J1698" s="170"/>
      <c r="K1698" s="155"/>
      <c r="L1698" s="1"/>
      <c r="O1698" s="883" t="s">
        <v>7793</v>
      </c>
      <c r="P1698" s="872"/>
      <c r="Q1698" s="872"/>
      <c r="R1698" s="872"/>
      <c r="S1698" s="1"/>
      <c r="U1698" s="1"/>
      <c r="W1698" s="313"/>
      <c r="X1698" s="1"/>
    </row>
    <row r="1699" spans="2:24" x14ac:dyDescent="0.35">
      <c r="D1699" t="s">
        <v>8307</v>
      </c>
      <c r="H1699" t="s">
        <v>7943</v>
      </c>
      <c r="I1699" s="155"/>
      <c r="J1699" s="170"/>
      <c r="K1699" s="155"/>
      <c r="L1699" s="1"/>
      <c r="O1699" s="883" t="s">
        <v>7793</v>
      </c>
      <c r="Q1699" s="73"/>
      <c r="R1699" s="1"/>
      <c r="S1699" s="1"/>
      <c r="T1699" s="313"/>
      <c r="U1699" s="1"/>
      <c r="W1699" s="313"/>
      <c r="X1699" s="1"/>
    </row>
    <row r="1700" spans="2:24" x14ac:dyDescent="0.35">
      <c r="I1700" s="155"/>
      <c r="J1700" s="170"/>
      <c r="K1700" s="155"/>
      <c r="L1700" s="1"/>
      <c r="O1700" s="883"/>
      <c r="Q1700" s="73"/>
      <c r="R1700" s="1"/>
      <c r="S1700" s="1"/>
      <c r="T1700" s="313"/>
      <c r="U1700" s="1"/>
      <c r="W1700" s="313"/>
      <c r="X1700" s="1"/>
    </row>
    <row r="1701" spans="2:24" x14ac:dyDescent="0.35">
      <c r="B1701" s="83" t="s">
        <v>7993</v>
      </c>
      <c r="D1701" t="s">
        <v>8316</v>
      </c>
      <c r="H1701" t="s">
        <v>7994</v>
      </c>
      <c r="I1701" s="155"/>
      <c r="J1701" s="170"/>
      <c r="K1701" s="155"/>
      <c r="L1701" s="1"/>
      <c r="O1701" s="883" t="s">
        <v>7793</v>
      </c>
      <c r="Q1701" s="73"/>
      <c r="R1701" s="1"/>
      <c r="S1701" s="1"/>
      <c r="T1701" s="313"/>
      <c r="U1701" s="1"/>
      <c r="W1701" s="313"/>
      <c r="X1701" s="1"/>
    </row>
    <row r="1702" spans="2:24" x14ac:dyDescent="0.35">
      <c r="D1702" t="s">
        <v>8317</v>
      </c>
      <c r="H1702" t="s">
        <v>7995</v>
      </c>
      <c r="I1702" s="155"/>
      <c r="J1702" s="170"/>
      <c r="K1702" s="155"/>
      <c r="L1702" s="1"/>
      <c r="O1702" s="883" t="s">
        <v>7793</v>
      </c>
      <c r="Q1702" s="73"/>
      <c r="R1702" s="1"/>
      <c r="S1702" s="1"/>
      <c r="T1702" s="313"/>
      <c r="U1702" s="1"/>
      <c r="W1702" s="313"/>
      <c r="X1702" s="1"/>
    </row>
    <row r="1703" spans="2:24" x14ac:dyDescent="0.35">
      <c r="I1703" s="155"/>
      <c r="J1703" s="170"/>
      <c r="K1703" s="155"/>
      <c r="L1703" s="1"/>
      <c r="O1703" s="489"/>
      <c r="Q1703" s="73"/>
      <c r="R1703" s="1"/>
      <c r="S1703" s="1"/>
      <c r="T1703" s="313"/>
      <c r="U1703" s="1"/>
      <c r="W1703" s="313"/>
      <c r="X1703" s="1"/>
    </row>
    <row r="1704" spans="2:24" x14ac:dyDescent="0.35">
      <c r="B1704" s="83" t="s">
        <v>7944</v>
      </c>
      <c r="D1704" t="s">
        <v>8318</v>
      </c>
      <c r="H1704" t="s">
        <v>8334</v>
      </c>
      <c r="I1704" s="155"/>
      <c r="J1704" s="170"/>
      <c r="K1704" s="155"/>
      <c r="L1704" s="1"/>
      <c r="O1704" s="883" t="s">
        <v>7793</v>
      </c>
      <c r="Q1704" s="73"/>
      <c r="R1704" s="1"/>
      <c r="S1704" s="1"/>
      <c r="T1704" s="313"/>
      <c r="U1704" s="1"/>
      <c r="W1704" s="313"/>
      <c r="X1704" s="1"/>
    </row>
    <row r="1705" spans="2:24" x14ac:dyDescent="0.35">
      <c r="D1705" t="s">
        <v>8319</v>
      </c>
      <c r="H1705" t="s">
        <v>7974</v>
      </c>
      <c r="J1705" s="170"/>
      <c r="K1705" s="155"/>
      <c r="L1705" s="1"/>
      <c r="O1705" s="883" t="s">
        <v>7793</v>
      </c>
      <c r="Q1705" s="73"/>
      <c r="R1705" s="1"/>
      <c r="S1705" s="1"/>
      <c r="T1705" s="313"/>
      <c r="U1705" s="1"/>
      <c r="W1705" s="313"/>
      <c r="X1705" s="1"/>
    </row>
    <row r="1706" spans="2:24" x14ac:dyDescent="0.35">
      <c r="D1706" t="s">
        <v>8309</v>
      </c>
      <c r="H1706" t="s">
        <v>7991</v>
      </c>
      <c r="I1706" s="155"/>
      <c r="J1706" s="170"/>
      <c r="K1706" s="155"/>
      <c r="L1706" s="1"/>
      <c r="O1706" s="883" t="s">
        <v>7793</v>
      </c>
      <c r="Q1706" s="73"/>
      <c r="R1706" s="1"/>
      <c r="S1706" s="1"/>
      <c r="T1706" s="313"/>
      <c r="U1706" s="1"/>
      <c r="W1706" s="313"/>
      <c r="X1706" s="1"/>
    </row>
    <row r="1707" spans="2:24" x14ac:dyDescent="0.35">
      <c r="I1707" s="155"/>
      <c r="J1707" s="170"/>
      <c r="K1707" s="155"/>
      <c r="L1707" s="1"/>
      <c r="Q1707" s="73"/>
      <c r="R1707" s="1"/>
      <c r="S1707" s="1"/>
      <c r="T1707" s="313"/>
      <c r="U1707" s="1"/>
      <c r="W1707" s="313"/>
      <c r="X1707" s="1"/>
    </row>
    <row r="1708" spans="2:24" x14ac:dyDescent="0.35">
      <c r="B1708" s="83" t="s">
        <v>1909</v>
      </c>
      <c r="D1708" t="s">
        <v>8322</v>
      </c>
      <c r="H1708" t="s">
        <v>8326</v>
      </c>
      <c r="I1708" s="155"/>
      <c r="J1708" s="170"/>
      <c r="K1708" s="155"/>
      <c r="L1708" s="1"/>
      <c r="O1708" s="883" t="s">
        <v>7793</v>
      </c>
      <c r="Q1708" s="73"/>
      <c r="R1708" s="1"/>
      <c r="S1708" s="1"/>
      <c r="T1708" s="313"/>
      <c r="U1708" s="1"/>
      <c r="W1708" s="313"/>
      <c r="X1708" s="1"/>
    </row>
    <row r="1709" spans="2:24" x14ac:dyDescent="0.35">
      <c r="D1709" t="s">
        <v>8320</v>
      </c>
      <c r="H1709" t="s">
        <v>7992</v>
      </c>
      <c r="I1709" s="155"/>
      <c r="J1709" s="170"/>
      <c r="K1709" s="155"/>
      <c r="L1709" s="1"/>
      <c r="O1709" s="883" t="s">
        <v>7793</v>
      </c>
      <c r="Q1709" s="73"/>
      <c r="R1709" s="1"/>
      <c r="S1709" s="1"/>
      <c r="T1709" s="313"/>
      <c r="U1709" s="1"/>
      <c r="W1709" s="313"/>
      <c r="X1709" s="1"/>
    </row>
    <row r="1710" spans="2:24" x14ac:dyDescent="0.35">
      <c r="D1710" t="s">
        <v>8328</v>
      </c>
      <c r="H1710" t="s">
        <v>8327</v>
      </c>
      <c r="Q1710" s="73"/>
      <c r="R1710" s="1"/>
      <c r="S1710" s="1"/>
      <c r="T1710" s="313"/>
      <c r="U1710" s="1"/>
      <c r="W1710" s="313"/>
      <c r="X1710" s="1"/>
    </row>
    <row r="1711" spans="2:24" x14ac:dyDescent="0.35">
      <c r="Q1711" s="73"/>
      <c r="R1711" s="1"/>
      <c r="S1711" s="1"/>
      <c r="T1711" s="313"/>
      <c r="U1711" s="1"/>
      <c r="W1711" s="313"/>
      <c r="X1711" s="1"/>
    </row>
    <row r="1712" spans="2:24" x14ac:dyDescent="0.35">
      <c r="B1712" s="83" t="s">
        <v>4151</v>
      </c>
      <c r="D1712" t="s">
        <v>8323</v>
      </c>
      <c r="H1712" t="s">
        <v>8288</v>
      </c>
      <c r="I1712" s="155"/>
      <c r="J1712" s="170"/>
      <c r="K1712" s="155"/>
      <c r="L1712" s="1"/>
      <c r="O1712" s="883" t="s">
        <v>7793</v>
      </c>
      <c r="Q1712" s="73"/>
      <c r="R1712" s="1"/>
      <c r="S1712" s="1"/>
      <c r="T1712" s="313"/>
      <c r="U1712" s="1"/>
      <c r="W1712" s="313"/>
      <c r="X1712" s="1"/>
    </row>
    <row r="1713" spans="1:24" x14ac:dyDescent="0.35">
      <c r="I1713" s="155"/>
      <c r="J1713" s="170"/>
      <c r="K1713" s="155"/>
      <c r="L1713" s="1"/>
      <c r="Q1713" s="73"/>
      <c r="R1713" s="1"/>
      <c r="T1713" s="313"/>
      <c r="U1713" s="1"/>
      <c r="X1713" s="1"/>
    </row>
    <row r="1714" spans="1:24" x14ac:dyDescent="0.35">
      <c r="B1714" s="83" t="s">
        <v>1535</v>
      </c>
      <c r="D1714" t="s">
        <v>8215</v>
      </c>
      <c r="I1714" s="155"/>
      <c r="J1714" s="170"/>
      <c r="K1714" s="155"/>
      <c r="L1714" s="1"/>
      <c r="Q1714" s="73"/>
      <c r="R1714" s="1"/>
      <c r="W1714" s="1" t="s">
        <v>5367</v>
      </c>
      <c r="X1714" s="1"/>
    </row>
    <row r="1715" spans="1:24" x14ac:dyDescent="0.35">
      <c r="D1715" t="str">
        <f>D2139</f>
        <v>Need to add additional EEPROM for data. Note that CAT24AA04 is used in XMC4200 Digital Power Control Card  yet is an obsolete ic. So perhaps #CAT24C256WI-GT3 ($0.20, 256Kb) would be ok?). Search reference designs for the word "eeprom" to see examples of this.</v>
      </c>
      <c r="I1715" s="155"/>
      <c r="J1715" s="170"/>
      <c r="K1715" s="155"/>
      <c r="L1715" s="1"/>
      <c r="Q1715" s="73"/>
      <c r="R1715" s="1"/>
      <c r="U1715" s="1"/>
      <c r="W1715" s="1" t="s">
        <v>4864</v>
      </c>
      <c r="X1715" s="1"/>
    </row>
    <row r="1716" spans="1:24" x14ac:dyDescent="0.35">
      <c r="D1716" t="str">
        <f>D2144</f>
        <v>Need to add USB connector yet not sure if we add 2nd Xmc4200 as debugger. See user's manual (KITXMCPLT2GOXMC4200TOBO1) for details.</v>
      </c>
      <c r="I1716" s="155"/>
      <c r="J1716" s="170"/>
      <c r="K1716" s="155"/>
      <c r="L1716" s="1"/>
      <c r="Q1716" s="73"/>
      <c r="R1716" s="1"/>
      <c r="T1716" s="313"/>
      <c r="U1716" s="1"/>
      <c r="W1716" s="1" t="s">
        <v>5367</v>
      </c>
      <c r="X1716" s="1"/>
    </row>
    <row r="1717" spans="1:24" x14ac:dyDescent="0.35">
      <c r="I1717" s="155"/>
      <c r="J1717" s="170"/>
      <c r="K1717" s="155"/>
      <c r="L1717" s="1"/>
      <c r="O1717" s="1"/>
      <c r="Q1717" s="73"/>
      <c r="R1717" s="1"/>
      <c r="T1717" s="313"/>
      <c r="U1717" s="1"/>
      <c r="W1717" s="313"/>
      <c r="X1717" s="1"/>
    </row>
    <row r="1718" spans="1:24" x14ac:dyDescent="0.35">
      <c r="B1718" s="83" t="s">
        <v>5028</v>
      </c>
      <c r="D1718" t="str">
        <f>D2197</f>
        <v>Design uses #LCMXO3L-640E-5MG121C fpga (640 lut, 100 io, spi, schmidt, 3.3V, $2.67). 300W prototype attaches to evaluation pcb #LCMXO3L-6900C-5BG256C via four 2x20 headers (160pins J3/J4/J6/J8)</v>
      </c>
      <c r="I1718" s="155"/>
      <c r="J1718" s="170"/>
      <c r="K1718" s="155"/>
      <c r="L1718" s="1"/>
      <c r="Q1718" s="73"/>
      <c r="R1718" s="1"/>
      <c r="T1718" s="313"/>
      <c r="U1718" s="1"/>
      <c r="W1718" s="313"/>
      <c r="X1718" s="1"/>
    </row>
    <row r="1719" spans="1:24" x14ac:dyDescent="0.35">
      <c r="I1719" s="155"/>
      <c r="J1719" s="170"/>
      <c r="K1719" s="155"/>
      <c r="L1719" s="1"/>
      <c r="Q1719" s="73"/>
      <c r="R1719" s="1"/>
      <c r="T1719" s="313"/>
      <c r="U1719" s="1"/>
      <c r="W1719" s="313"/>
      <c r="X1719" s="1"/>
    </row>
    <row r="1720" spans="1:24" x14ac:dyDescent="0.35">
      <c r="B1720" s="83" t="s">
        <v>7945</v>
      </c>
      <c r="D1720" t="str">
        <f>D2834</f>
        <v>MCP3461T-E/ST -- 16bit, delta sigma, $1.53, 60 to 150K s/sec, programmable gain (our 300W prototype goes direct to TSSOP-20, no eval pcb)</v>
      </c>
      <c r="I1720" s="155"/>
      <c r="J1720" s="170"/>
      <c r="K1720" s="155"/>
      <c r="L1720" s="1"/>
      <c r="Q1720" s="73"/>
      <c r="R1720" s="1"/>
      <c r="T1720" s="313"/>
      <c r="U1720" s="1"/>
      <c r="W1720" s="313"/>
      <c r="X1720" s="1"/>
    </row>
    <row r="1721" spans="1:24" x14ac:dyDescent="0.35">
      <c r="I1721" s="155"/>
      <c r="J1721" s="170"/>
      <c r="K1721" s="155"/>
      <c r="L1721" s="1"/>
      <c r="Q1721" s="73"/>
      <c r="R1721" s="1"/>
      <c r="T1721" s="313"/>
      <c r="U1721" s="1"/>
      <c r="W1721" s="313"/>
      <c r="X1721" s="1"/>
    </row>
    <row r="1722" spans="1:24" x14ac:dyDescent="0.35">
      <c r="B1722" s="83" t="s">
        <v>221</v>
      </c>
      <c r="D1722" t="s">
        <v>8248</v>
      </c>
      <c r="I1722" s="155"/>
      <c r="J1722" s="170"/>
      <c r="K1722" s="155"/>
      <c r="L1722" s="1"/>
      <c r="Q1722" s="73"/>
      <c r="R1722" s="1"/>
      <c r="T1722" s="313"/>
      <c r="U1722" s="1"/>
      <c r="W1722" s="313"/>
      <c r="X1722" s="1"/>
    </row>
    <row r="1723" spans="1:24" x14ac:dyDescent="0.35">
      <c r="I1723" s="155"/>
      <c r="J1723" s="170"/>
      <c r="K1723" s="155"/>
      <c r="L1723" s="1"/>
      <c r="Q1723" s="73"/>
      <c r="R1723" s="1"/>
      <c r="T1723" s="313"/>
      <c r="U1723" s="1"/>
      <c r="W1723" s="313"/>
      <c r="X1723" s="1"/>
    </row>
    <row r="1724" spans="1:24" x14ac:dyDescent="0.35">
      <c r="B1724" s="83" t="s">
        <v>8148</v>
      </c>
      <c r="D1724" s="170" t="s">
        <v>8310</v>
      </c>
      <c r="I1724" s="155"/>
      <c r="J1724" s="170"/>
      <c r="K1724" s="155"/>
      <c r="L1724" s="905" t="s">
        <v>8340</v>
      </c>
      <c r="Q1724" s="73"/>
      <c r="R1724" s="1"/>
      <c r="T1724" s="313"/>
      <c r="U1724" s="1"/>
      <c r="W1724" s="313"/>
      <c r="X1724" s="1"/>
    </row>
    <row r="1725" spans="1:24" x14ac:dyDescent="0.35">
      <c r="D1725" s="170" t="s">
        <v>8289</v>
      </c>
      <c r="I1725" s="155"/>
      <c r="J1725" s="170"/>
      <c r="K1725" s="155"/>
      <c r="L1725" s="1"/>
      <c r="Q1725" s="73"/>
      <c r="R1725" s="1"/>
      <c r="T1725" s="313"/>
      <c r="U1725" s="1"/>
      <c r="W1725" s="313"/>
      <c r="X1725" s="1"/>
    </row>
    <row r="1726" spans="1:24" x14ac:dyDescent="0.35">
      <c r="E1726" s="155"/>
      <c r="F1726" s="155"/>
      <c r="H1726" s="155"/>
      <c r="I1726" s="155"/>
      <c r="J1726" s="170"/>
      <c r="K1726" s="155"/>
      <c r="L1726" s="1"/>
      <c r="Q1726" s="73"/>
      <c r="R1726" s="1"/>
      <c r="T1726" s="313"/>
      <c r="U1726" s="1"/>
      <c r="W1726" s="313"/>
      <c r="X1726" s="1"/>
    </row>
    <row r="1727" spans="1:24" s="5" customFormat="1" x14ac:dyDescent="0.35">
      <c r="A1727" s="86" t="s">
        <v>7798</v>
      </c>
    </row>
    <row r="1728" spans="1:24" x14ac:dyDescent="0.35">
      <c r="K1728" s="186">
        <f>SUM(K1731:K1975)</f>
        <v>46.508399999999995</v>
      </c>
    </row>
    <row r="1729" spans="2:32" ht="24.5" x14ac:dyDescent="0.35">
      <c r="D1729" s="123" t="s">
        <v>9393</v>
      </c>
      <c r="E1729" s="123" t="s">
        <v>9391</v>
      </c>
      <c r="F1729" s="123" t="s">
        <v>9373</v>
      </c>
      <c r="H1729" s="123" t="s">
        <v>7694</v>
      </c>
      <c r="I1729" s="123" t="s">
        <v>0</v>
      </c>
      <c r="J1729" s="123" t="s">
        <v>7695</v>
      </c>
      <c r="K1729" s="123" t="s">
        <v>7696</v>
      </c>
      <c r="L1729" s="123" t="s">
        <v>8802</v>
      </c>
      <c r="M1729" s="123" t="s">
        <v>8350</v>
      </c>
      <c r="N1729" s="123" t="s">
        <v>2961</v>
      </c>
      <c r="O1729" s="123" t="s">
        <v>0</v>
      </c>
      <c r="P1729" s="123" t="s">
        <v>8353</v>
      </c>
      <c r="R1729" s="123" t="s">
        <v>7697</v>
      </c>
      <c r="T1729" s="740"/>
      <c r="W1729" s="123" t="s">
        <v>6624</v>
      </c>
      <c r="X1729" s="123" t="s">
        <v>4228</v>
      </c>
      <c r="AA1729" s="170" t="s">
        <v>8648</v>
      </c>
      <c r="AD1729" s="1" t="s">
        <v>8646</v>
      </c>
    </row>
    <row r="1730" spans="2:32" x14ac:dyDescent="0.35">
      <c r="D1730" s="463"/>
      <c r="E1730" s="463"/>
      <c r="F1730" s="463"/>
      <c r="Q1730" s="295" t="str">
        <f>CONCATENATE("Ma2-",TEXT(P1732,"##,###"))</f>
        <v>Ma2-</v>
      </c>
    </row>
    <row r="1731" spans="2:32" x14ac:dyDescent="0.35">
      <c r="B1731" s="83" t="s">
        <v>3304</v>
      </c>
      <c r="D1731" s="463"/>
      <c r="E1731" s="463"/>
      <c r="F1731" s="463"/>
      <c r="G1731" s="915"/>
      <c r="H1731" s="295" t="s">
        <v>8206</v>
      </c>
      <c r="J1731" t="s">
        <v>8182</v>
      </c>
      <c r="K1731" s="387">
        <v>2.97</v>
      </c>
      <c r="L1731" s="2" t="s">
        <v>9548</v>
      </c>
      <c r="M1731" s="881"/>
      <c r="N1731" s="1" t="s">
        <v>8207</v>
      </c>
      <c r="O1731" t="s">
        <v>0</v>
      </c>
      <c r="P1731" s="907">
        <v>41320</v>
      </c>
      <c r="Q1731" s="295" t="s">
        <v>8670</v>
      </c>
      <c r="R1731" t="s">
        <v>8208</v>
      </c>
      <c r="W1731" t="s">
        <v>0</v>
      </c>
      <c r="X1731" t="s">
        <v>8209</v>
      </c>
      <c r="AF1731" t="s">
        <v>8655</v>
      </c>
    </row>
    <row r="1732" spans="2:32" x14ac:dyDescent="0.35">
      <c r="D1732" s="463"/>
      <c r="E1732" s="463"/>
      <c r="F1732" s="463"/>
      <c r="G1732" s="915"/>
      <c r="K1732" s="8"/>
      <c r="M1732" s="881"/>
    </row>
    <row r="1733" spans="2:32" x14ac:dyDescent="0.35">
      <c r="B1733" s="83" t="s">
        <v>8183</v>
      </c>
      <c r="D1733" s="463"/>
      <c r="E1733" s="463" t="str">
        <f>H1733</f>
        <v>APX809S-29SA-7</v>
      </c>
      <c r="F1733" s="463" t="s">
        <v>9371</v>
      </c>
      <c r="G1733" s="916" t="s">
        <v>8775</v>
      </c>
      <c r="H1733" s="345" t="s">
        <v>8139</v>
      </c>
      <c r="I1733" s="345"/>
      <c r="J1733" s="345" t="s">
        <v>7969</v>
      </c>
      <c r="K1733" s="948">
        <v>0.1</v>
      </c>
      <c r="L1733" s="345" t="s">
        <v>6873</v>
      </c>
      <c r="M1733" s="345" t="s">
        <v>8735</v>
      </c>
      <c r="N1733" s="886" t="s">
        <v>8138</v>
      </c>
      <c r="O1733" s="345" t="s">
        <v>0</v>
      </c>
      <c r="P1733" s="930">
        <v>41420</v>
      </c>
      <c r="Q1733" s="885" t="s">
        <v>8671</v>
      </c>
      <c r="R1733" s="345" t="s">
        <v>8149</v>
      </c>
      <c r="X1733" s="345" t="s">
        <v>8150</v>
      </c>
    </row>
    <row r="1734" spans="2:32" x14ac:dyDescent="0.35">
      <c r="D1734" s="463"/>
      <c r="E1734" s="992" t="s">
        <v>9462</v>
      </c>
      <c r="F1734" s="463"/>
      <c r="G1734" s="916" t="s">
        <v>8775</v>
      </c>
      <c r="H1734" s="155" t="s">
        <v>9567</v>
      </c>
      <c r="I1734" s="155"/>
      <c r="J1734" s="155" t="s">
        <v>9569</v>
      </c>
      <c r="K1734" s="387">
        <v>0.25</v>
      </c>
      <c r="L1734" s="155" t="s">
        <v>9572</v>
      </c>
      <c r="M1734" s="155" t="s">
        <v>9574</v>
      </c>
      <c r="N1734" s="367" t="s">
        <v>9565</v>
      </c>
      <c r="O1734" s="155" t="s">
        <v>0</v>
      </c>
      <c r="P1734" s="907">
        <v>41422</v>
      </c>
      <c r="Q1734" s="295" t="s">
        <v>9564</v>
      </c>
      <c r="R1734" t="s">
        <v>9578</v>
      </c>
      <c r="X1734" t="s">
        <v>9566</v>
      </c>
    </row>
    <row r="1735" spans="2:32" x14ac:dyDescent="0.35">
      <c r="D1735" s="463"/>
      <c r="E1735" s="992" t="s">
        <v>9462</v>
      </c>
      <c r="F1735" s="463"/>
      <c r="G1735" s="916" t="s">
        <v>8775</v>
      </c>
      <c r="H1735" s="155" t="s">
        <v>9571</v>
      </c>
      <c r="I1735" s="155"/>
      <c r="J1735" s="155" t="s">
        <v>9570</v>
      </c>
      <c r="K1735" s="387">
        <v>0.23</v>
      </c>
      <c r="L1735" s="155" t="s">
        <v>9573</v>
      </c>
      <c r="M1735" s="155" t="s">
        <v>9575</v>
      </c>
      <c r="N1735" s="367" t="s">
        <v>9568</v>
      </c>
      <c r="O1735" s="155" t="s">
        <v>0</v>
      </c>
      <c r="P1735" s="907">
        <v>41433</v>
      </c>
      <c r="Q1735" s="295" t="s">
        <v>9576</v>
      </c>
      <c r="R1735" t="s">
        <v>9577</v>
      </c>
    </row>
    <row r="1736" spans="2:32" x14ac:dyDescent="0.35">
      <c r="D1736" s="463"/>
      <c r="E1736" s="463"/>
      <c r="F1736" s="463"/>
      <c r="G1736" s="915"/>
      <c r="K1736" s="336"/>
      <c r="N1736" s="1"/>
    </row>
    <row r="1737" spans="2:32" x14ac:dyDescent="0.35">
      <c r="B1737" s="894" t="s">
        <v>8351</v>
      </c>
      <c r="D1737" s="463"/>
      <c r="E1737" s="463"/>
      <c r="F1737" s="463" t="s">
        <v>9372</v>
      </c>
      <c r="G1737" s="916" t="s">
        <v>8775</v>
      </c>
      <c r="H1737" t="s">
        <v>3449</v>
      </c>
      <c r="J1737" t="s">
        <v>3339</v>
      </c>
      <c r="K1737" s="387">
        <v>0.18</v>
      </c>
      <c r="L1737" s="2" t="s">
        <v>8665</v>
      </c>
      <c r="M1737" t="s">
        <v>8736</v>
      </c>
      <c r="N1737" s="1" t="s">
        <v>3448</v>
      </c>
      <c r="O1737" t="s">
        <v>0</v>
      </c>
      <c r="P1737" s="162">
        <v>82520</v>
      </c>
      <c r="Q1737" s="295" t="s">
        <v>8672</v>
      </c>
      <c r="R1737" t="s">
        <v>8387</v>
      </c>
      <c r="X1737" t="str">
        <f>H1370</f>
        <v>Temp Monitor: TMP302C, 90 to 105C trip, OC output, $0.29</v>
      </c>
    </row>
    <row r="1738" spans="2:32" x14ac:dyDescent="0.35">
      <c r="D1738" s="463"/>
      <c r="E1738" s="463" t="str">
        <f>H1738</f>
        <v>NCU15XH103F60RC</v>
      </c>
      <c r="F1738" s="463" t="s">
        <v>9371</v>
      </c>
      <c r="G1738" s="916" t="s">
        <v>8775</v>
      </c>
      <c r="H1738" t="s">
        <v>8153</v>
      </c>
      <c r="J1738" t="s">
        <v>8154</v>
      </c>
      <c r="K1738" s="336">
        <v>0.02</v>
      </c>
      <c r="L1738" t="str">
        <f>"0402"</f>
        <v>0402</v>
      </c>
      <c r="M1738" t="s">
        <v>8773</v>
      </c>
      <c r="N1738" s="1" t="s">
        <v>8152</v>
      </c>
      <c r="O1738" t="s">
        <v>0</v>
      </c>
      <c r="P1738" s="162">
        <v>82530</v>
      </c>
      <c r="Q1738" s="295" t="s">
        <v>8673</v>
      </c>
      <c r="R1738" t="s">
        <v>9058</v>
      </c>
      <c r="X1738">
        <f>F2237</f>
        <v>0</v>
      </c>
    </row>
    <row r="1739" spans="2:32" x14ac:dyDescent="0.35">
      <c r="D1739" s="463"/>
      <c r="E1739" s="463"/>
      <c r="F1739" s="463"/>
      <c r="G1739" s="915"/>
    </row>
    <row r="1740" spans="2:32" x14ac:dyDescent="0.35">
      <c r="B1740" s="894" t="s">
        <v>8352</v>
      </c>
      <c r="D1740" s="463"/>
      <c r="E1740" s="463"/>
      <c r="F1740" s="463"/>
      <c r="G1740" s="915"/>
      <c r="H1740" t="str">
        <f>D2139</f>
        <v>Need to add additional EEPROM for data. Note that CAT24AA04 is used in XMC4200 Digital Power Control Card  yet is an obsolete ic. So perhaps #CAT24C256WI-GT3 ($0.20, 256Kb) would be ok?). Search reference designs for the word "eeprom" to see examples of this.</v>
      </c>
      <c r="K1740" s="336"/>
      <c r="N1740" s="1"/>
      <c r="O1740" t="s">
        <v>0</v>
      </c>
      <c r="P1740" s="162">
        <v>40430</v>
      </c>
      <c r="Q1740" s="295" t="s">
        <v>8674</v>
      </c>
    </row>
    <row r="1741" spans="2:32" x14ac:dyDescent="0.35">
      <c r="D1741" s="463"/>
      <c r="E1741" s="463"/>
      <c r="F1741" s="463"/>
      <c r="G1741" s="915"/>
      <c r="K1741" s="336"/>
      <c r="N1741" s="1"/>
    </row>
    <row r="1742" spans="2:32" x14ac:dyDescent="0.35">
      <c r="B1742" s="894" t="s">
        <v>5028</v>
      </c>
      <c r="D1742" s="463"/>
      <c r="E1742" s="463"/>
      <c r="F1742" s="463"/>
      <c r="G1742" s="915"/>
      <c r="H1742" s="2" t="s">
        <v>5052</v>
      </c>
      <c r="J1742" t="s">
        <v>8216</v>
      </c>
      <c r="K1742" s="315">
        <v>2.67</v>
      </c>
      <c r="N1742" s="1"/>
      <c r="P1742" s="162">
        <v>41100</v>
      </c>
      <c r="Q1742" s="295" t="s">
        <v>8675</v>
      </c>
    </row>
    <row r="1743" spans="2:32" x14ac:dyDescent="0.35">
      <c r="D1743" s="463"/>
      <c r="E1743" s="463"/>
      <c r="F1743" s="463" t="s">
        <v>9374</v>
      </c>
      <c r="G1743" s="915"/>
      <c r="H1743" t="str">
        <f>D2197</f>
        <v>Design uses #LCMXO3L-640E-5MG121C fpga (640 lut, 100 io, spi, schmidt, 3.3V, $2.67). 300W prototype attaches to evaluation pcb #LCMXO3L-6900C-5BG256C via four 2x20 headers (160pins J3/J4/J6/J8)</v>
      </c>
      <c r="K1743" s="336"/>
      <c r="N1743" s="1"/>
    </row>
    <row r="1744" spans="2:32" x14ac:dyDescent="0.35">
      <c r="D1744" s="463"/>
      <c r="E1744" s="463"/>
      <c r="F1744" s="463"/>
      <c r="G1744" s="915"/>
      <c r="K1744" s="336"/>
      <c r="N1744" s="1"/>
    </row>
    <row r="1745" spans="2:24" x14ac:dyDescent="0.35">
      <c r="B1745" s="894" t="s">
        <v>7945</v>
      </c>
      <c r="D1745" s="463" t="str">
        <f>H1745</f>
        <v>MCP3461T-E/ST (TSSOP-20),                   Different package: MCP3461T-E/NC (20UQFN, NOT DROP IN COMPATIBLE)</v>
      </c>
      <c r="E1745" s="463"/>
      <c r="F1745" s="463" t="s">
        <v>9371</v>
      </c>
      <c r="G1745" s="916" t="s">
        <v>8775</v>
      </c>
      <c r="H1745" t="s">
        <v>8234</v>
      </c>
      <c r="K1745" s="336">
        <v>1.53</v>
      </c>
      <c r="L1745" t="s">
        <v>8235</v>
      </c>
      <c r="M1745" t="s">
        <v>8733</v>
      </c>
      <c r="N1745" s="1" t="s">
        <v>8236</v>
      </c>
      <c r="O1745" t="s">
        <v>0</v>
      </c>
      <c r="P1745" s="908">
        <v>39220</v>
      </c>
      <c r="Q1745" s="295" t="s">
        <v>8676</v>
      </c>
      <c r="R1745" t="s">
        <v>8732</v>
      </c>
      <c r="X1745" t="str">
        <f>D2834</f>
        <v>MCP3461T-E/ST -- 16bit, delta sigma, $1.53, 60 to 150K s/sec, programmable gain (our 300W prototype goes direct to TSSOP-20, no eval pcb)</v>
      </c>
    </row>
    <row r="1746" spans="2:24" x14ac:dyDescent="0.35">
      <c r="B1746" s="894"/>
      <c r="D1746" s="463"/>
      <c r="E1746" s="463"/>
      <c r="F1746" s="463"/>
      <c r="G1746" s="915"/>
      <c r="K1746" s="336"/>
      <c r="N1746" s="1"/>
    </row>
    <row r="1747" spans="2:24" x14ac:dyDescent="0.35">
      <c r="B1747" s="894" t="s">
        <v>221</v>
      </c>
      <c r="D1747" s="463"/>
      <c r="E1747" s="463"/>
      <c r="F1747" s="463" t="s">
        <v>9371</v>
      </c>
      <c r="G1747" s="915"/>
      <c r="H1747" t="str">
        <f>D1722</f>
        <v>Prototype uses DB25f, DB25m, MC4f and MC4m. For details search this file for "Connector Strategy" and "D25P33E4GX00LF" and see discussion in "Ma2_Solar_RD_PLAN_v0.985_ORIGINAL.docx".</v>
      </c>
      <c r="K1747" s="336"/>
      <c r="N1747" s="1"/>
    </row>
    <row r="1748" spans="2:24" x14ac:dyDescent="0.35">
      <c r="B1748" s="894"/>
      <c r="D1748" s="463" t="s">
        <v>9389</v>
      </c>
      <c r="E1748" s="463"/>
      <c r="F1748" s="463" t="s">
        <v>9371</v>
      </c>
      <c r="G1748" s="915"/>
      <c r="H1748" t="s">
        <v>8245</v>
      </c>
      <c r="K1748" s="336"/>
      <c r="N1748" s="1" t="s">
        <v>8240</v>
      </c>
      <c r="O1748" t="s">
        <v>0</v>
      </c>
      <c r="R1748" t="s">
        <v>8245</v>
      </c>
      <c r="X1748" t="s">
        <v>9390</v>
      </c>
    </row>
    <row r="1749" spans="2:24" x14ac:dyDescent="0.35">
      <c r="B1749" s="894"/>
      <c r="D1749" s="463"/>
      <c r="E1749" s="463" t="str">
        <f>H1749</f>
        <v>ID25P33E4GV00LF</v>
      </c>
      <c r="F1749" s="463"/>
      <c r="G1749" s="915"/>
      <c r="H1749" t="s">
        <v>8244</v>
      </c>
      <c r="J1749" t="s">
        <v>8252</v>
      </c>
      <c r="K1749" s="336"/>
      <c r="N1749" s="1" t="s">
        <v>8243</v>
      </c>
      <c r="O1749" t="s">
        <v>0</v>
      </c>
      <c r="P1749" s="909">
        <v>25325</v>
      </c>
      <c r="Q1749" s="295" t="s">
        <v>8677</v>
      </c>
      <c r="R1749" t="s">
        <v>8253</v>
      </c>
    </row>
    <row r="1750" spans="2:24" x14ac:dyDescent="0.35">
      <c r="B1750" s="894"/>
      <c r="D1750" s="463"/>
      <c r="E1750" s="463" t="str">
        <f>H1750</f>
        <v>D25S33E4GX00LF</v>
      </c>
      <c r="F1750" s="463"/>
      <c r="G1750" s="915"/>
      <c r="H1750" t="s">
        <v>8247</v>
      </c>
      <c r="J1750" t="s">
        <v>8252</v>
      </c>
      <c r="K1750" s="336"/>
      <c r="N1750" s="1" t="s">
        <v>8246</v>
      </c>
      <c r="O1750" t="s">
        <v>0</v>
      </c>
      <c r="P1750" s="909">
        <v>25425</v>
      </c>
      <c r="Q1750" s="295" t="s">
        <v>8678</v>
      </c>
      <c r="R1750" t="s">
        <v>8254</v>
      </c>
    </row>
    <row r="1751" spans="2:24" x14ac:dyDescent="0.35">
      <c r="B1751" s="894"/>
      <c r="D1751" s="463"/>
      <c r="E1751" s="992" t="s">
        <v>9462</v>
      </c>
      <c r="F1751" s="463"/>
      <c r="G1751" s="915"/>
      <c r="H1751" t="s">
        <v>9588</v>
      </c>
      <c r="J1751" t="s">
        <v>9579</v>
      </c>
      <c r="K1751" s="336"/>
      <c r="N1751" s="1" t="s">
        <v>9555</v>
      </c>
      <c r="O1751" t="s">
        <v>0</v>
      </c>
      <c r="P1751" s="909">
        <v>25510</v>
      </c>
      <c r="Q1751" s="295" t="s">
        <v>9580</v>
      </c>
      <c r="R1751" t="s">
        <v>9590</v>
      </c>
      <c r="X1751" t="s">
        <v>9589</v>
      </c>
    </row>
    <row r="1752" spans="2:24" x14ac:dyDescent="0.35">
      <c r="D1752" s="463"/>
      <c r="E1752" s="463"/>
      <c r="F1752" s="463" t="s">
        <v>9396</v>
      </c>
      <c r="G1752" s="915"/>
      <c r="H1752" t="s">
        <v>9460</v>
      </c>
      <c r="J1752" t="s">
        <v>9579</v>
      </c>
      <c r="K1752" s="336"/>
      <c r="N1752" s="1" t="s">
        <v>9583</v>
      </c>
      <c r="O1752" t="s">
        <v>0</v>
      </c>
      <c r="P1752" s="910">
        <v>26230</v>
      </c>
      <c r="Q1752" s="295" t="s">
        <v>9581</v>
      </c>
      <c r="R1752" t="s">
        <v>9587</v>
      </c>
    </row>
    <row r="1753" spans="2:24" x14ac:dyDescent="0.35">
      <c r="D1753" s="463"/>
      <c r="E1753" s="463"/>
      <c r="F1753" s="463" t="s">
        <v>9396</v>
      </c>
      <c r="G1753" s="915"/>
      <c r="H1753" t="s">
        <v>9461</v>
      </c>
      <c r="J1753" t="s">
        <v>9585</v>
      </c>
      <c r="K1753" s="336"/>
      <c r="N1753" s="1" t="s">
        <v>9584</v>
      </c>
      <c r="O1753" t="s">
        <v>0</v>
      </c>
      <c r="P1753" s="910">
        <v>26231</v>
      </c>
      <c r="Q1753" s="295" t="s">
        <v>9582</v>
      </c>
      <c r="R1753" t="s">
        <v>9586</v>
      </c>
    </row>
    <row r="1754" spans="2:24" x14ac:dyDescent="0.35">
      <c r="B1754" s="894"/>
      <c r="D1754" s="463"/>
      <c r="E1754" s="463"/>
      <c r="F1754" s="463" t="s">
        <v>9371</v>
      </c>
      <c r="G1754" s="915"/>
      <c r="H1754" t="s">
        <v>8250</v>
      </c>
      <c r="J1754" t="s">
        <v>8251</v>
      </c>
      <c r="K1754" s="336"/>
      <c r="N1754" s="1" t="s">
        <v>8249</v>
      </c>
      <c r="O1754" t="s">
        <v>0</v>
      </c>
      <c r="P1754" s="909">
        <v>26145</v>
      </c>
      <c r="Q1754" s="295" t="s">
        <v>8679</v>
      </c>
      <c r="R1754" t="str">
        <f>D1620</f>
        <v>Broaching Nut, M3.5 (similar to 6-32), tin plated steel (for pcb), PEM #KF2-M3.5-ET</v>
      </c>
    </row>
    <row r="1755" spans="2:24" x14ac:dyDescent="0.35">
      <c r="D1755" s="463"/>
      <c r="E1755" s="463"/>
      <c r="F1755" s="463"/>
      <c r="G1755" s="915"/>
      <c r="H1755" s="73" t="s">
        <v>8259</v>
      </c>
      <c r="I1755" t="str">
        <f>D1622</f>
        <v>AMAZON 250 qty $60:  https://www.amazon.com/dp/B07R3YM4K2/ref=cm_sw_em_r_mt_dp_U_7Oy2EbWDNKM5M</v>
      </c>
      <c r="N1755" s="1"/>
    </row>
    <row r="1756" spans="2:24" x14ac:dyDescent="0.35">
      <c r="D1756" s="463"/>
      <c r="E1756" s="463"/>
      <c r="F1756" s="463"/>
      <c r="G1756" s="915"/>
      <c r="H1756" s="73" t="s">
        <v>8259</v>
      </c>
      <c r="I1756" t="str">
        <f>D1621</f>
        <v>NP Fasteners has Broaching Nuts: http://www.npfasteners.com/broaching/cbn.htm</v>
      </c>
      <c r="K1756" s="336"/>
      <c r="N1756" s="1"/>
    </row>
    <row r="1757" spans="2:24" x14ac:dyDescent="0.35">
      <c r="D1757" s="463"/>
      <c r="E1757" s="463"/>
      <c r="F1757" s="463"/>
      <c r="G1757" s="915"/>
      <c r="H1757" t="str">
        <f>D2144</f>
        <v>Need to add USB connector yet not sure if we add 2nd Xmc4200 as debugger. See user's manual (KITXMCPLT2GOXMC4200TOBO1) for details.</v>
      </c>
      <c r="K1757" s="336"/>
      <c r="N1757" s="1"/>
      <c r="P1757" s="910">
        <v>26211</v>
      </c>
      <c r="Q1757" s="295" t="s">
        <v>8680</v>
      </c>
    </row>
    <row r="1758" spans="2:24" x14ac:dyDescent="0.35">
      <c r="D1758" s="463"/>
      <c r="E1758" s="463"/>
      <c r="F1758" s="463"/>
      <c r="G1758" s="915"/>
      <c r="K1758" s="336"/>
      <c r="N1758" s="1"/>
      <c r="P1758" s="910"/>
    </row>
    <row r="1759" spans="2:24" x14ac:dyDescent="0.35">
      <c r="B1759" s="83" t="s">
        <v>2133</v>
      </c>
      <c r="D1759" s="463"/>
      <c r="E1759" s="463"/>
      <c r="F1759" s="463"/>
      <c r="G1759" s="915"/>
      <c r="K1759" s="336"/>
      <c r="N1759" s="1"/>
      <c r="Q1759" s="295" t="str">
        <f>CONCATENATE("Ma2-",TEXT(P1759,"##,###"))</f>
        <v>Ma2-</v>
      </c>
    </row>
    <row r="1760" spans="2:24" x14ac:dyDescent="0.35">
      <c r="C1760" s="187" t="s">
        <v>7904</v>
      </c>
      <c r="D1760" s="463"/>
      <c r="E1760" s="463" t="str">
        <f>H1760</f>
        <v>AP2202K-ADJTRG1</v>
      </c>
      <c r="F1760" s="463" t="s">
        <v>9371</v>
      </c>
      <c r="G1760" s="916" t="s">
        <v>8775</v>
      </c>
      <c r="H1760" t="s">
        <v>6741</v>
      </c>
      <c r="J1760" t="s">
        <v>7969</v>
      </c>
      <c r="K1760" s="336">
        <v>0.1</v>
      </c>
      <c r="L1760" t="s">
        <v>3319</v>
      </c>
      <c r="M1760" t="s">
        <v>8720</v>
      </c>
      <c r="N1760" s="1" t="s">
        <v>6721</v>
      </c>
      <c r="O1760" t="s">
        <v>0</v>
      </c>
      <c r="P1760" s="162">
        <v>45581</v>
      </c>
      <c r="Q1760" s="295" t="s">
        <v>8681</v>
      </c>
      <c r="R1760" t="s">
        <v>8721</v>
      </c>
      <c r="X1760" t="str">
        <f>T1528</f>
        <v>AP2202K-ADJ vReg 2% 150mA &lt;13Vin, 230mV Head, SOT23-3, $0.10</v>
      </c>
    </row>
    <row r="1761" spans="2:33" x14ac:dyDescent="0.35">
      <c r="C1761" s="155"/>
      <c r="D1761" s="463"/>
      <c r="E1761" s="463" t="str">
        <f>H1761</f>
        <v>TLV70036DDCR</v>
      </c>
      <c r="F1761" s="463" t="s">
        <v>9371</v>
      </c>
      <c r="G1761" s="916" t="s">
        <v>8775</v>
      </c>
      <c r="H1761" t="s">
        <v>6642</v>
      </c>
      <c r="J1761" t="s">
        <v>3339</v>
      </c>
      <c r="K1761" s="336">
        <v>0.1</v>
      </c>
      <c r="L1761" t="s">
        <v>3319</v>
      </c>
      <c r="M1761" t="s">
        <v>8723</v>
      </c>
      <c r="N1761" s="1" t="s">
        <v>6641</v>
      </c>
      <c r="O1761" t="s">
        <v>0</v>
      </c>
      <c r="P1761" s="162">
        <v>45582</v>
      </c>
      <c r="Q1761" s="295" t="s">
        <v>8682</v>
      </c>
      <c r="R1761" t="s">
        <v>8722</v>
      </c>
      <c r="X1761" t="str">
        <f>T1537</f>
        <v>TLV70036 vReg, 3.6Vout, 2%, 200mA, &lt;5.5Vin, 46mV Head, SOT23-5, $0.10</v>
      </c>
    </row>
    <row r="1762" spans="2:33" x14ac:dyDescent="0.35">
      <c r="C1762" s="187" t="s">
        <v>7721</v>
      </c>
      <c r="D1762" s="463"/>
      <c r="E1762" s="463" t="str">
        <f>H1762</f>
        <v>LM2664M6X-NOPB</v>
      </c>
      <c r="F1762" s="463" t="s">
        <v>9371</v>
      </c>
      <c r="G1762" s="916" t="s">
        <v>8775</v>
      </c>
      <c r="H1762" t="s">
        <v>7720</v>
      </c>
      <c r="J1762" t="s">
        <v>3339</v>
      </c>
      <c r="K1762" s="336">
        <v>0.32</v>
      </c>
      <c r="L1762" t="s">
        <v>3302</v>
      </c>
      <c r="M1762" t="s">
        <v>8774</v>
      </c>
      <c r="N1762" s="1" t="s">
        <v>7717</v>
      </c>
      <c r="O1762" t="s">
        <v>0</v>
      </c>
      <c r="P1762" s="162">
        <v>45583</v>
      </c>
      <c r="Q1762" s="295" t="s">
        <v>8683</v>
      </c>
      <c r="R1762" t="s">
        <v>7719</v>
      </c>
      <c r="X1762" t="str">
        <f>T1589</f>
        <v>LM2664, charge pump (flying cap), Doubler/Inverter, 40mA, $.32, SOT23-6</v>
      </c>
    </row>
    <row r="1763" spans="2:33" x14ac:dyDescent="0.35">
      <c r="C1763" s="187" t="s">
        <v>3257</v>
      </c>
      <c r="D1763" s="463"/>
      <c r="E1763" s="463" t="str">
        <f>H1763</f>
        <v>TLVH431BIL3T</v>
      </c>
      <c r="F1763" s="463" t="s">
        <v>9371</v>
      </c>
      <c r="G1763" s="916" t="s">
        <v>8775</v>
      </c>
      <c r="H1763" t="s">
        <v>6892</v>
      </c>
      <c r="J1763" t="s">
        <v>7707</v>
      </c>
      <c r="K1763" s="336">
        <v>0.09</v>
      </c>
      <c r="L1763" t="s">
        <v>6873</v>
      </c>
      <c r="M1763" t="s">
        <v>8724</v>
      </c>
      <c r="N1763" s="1" t="s">
        <v>6870</v>
      </c>
      <c r="O1763" t="s">
        <v>0</v>
      </c>
      <c r="P1763" s="162">
        <v>45584</v>
      </c>
      <c r="Q1763" s="295" t="s">
        <v>8684</v>
      </c>
      <c r="R1763" t="s">
        <v>7714</v>
      </c>
      <c r="X1763" t="str">
        <f>T1551</f>
        <v>TLVH431B, 1.24V shunt, 0.25%, SOT-23-3, $0.08</v>
      </c>
    </row>
    <row r="1764" spans="2:33" x14ac:dyDescent="0.35">
      <c r="C1764" s="187" t="s">
        <v>7903</v>
      </c>
      <c r="D1764" s="463"/>
      <c r="E1764" s="463"/>
      <c r="F1764" s="463" t="s">
        <v>9392</v>
      </c>
      <c r="G1764" s="916" t="s">
        <v>8775</v>
      </c>
      <c r="H1764" t="s">
        <v>7900</v>
      </c>
      <c r="J1764" t="s">
        <v>3339</v>
      </c>
      <c r="K1764" s="336">
        <v>2.92</v>
      </c>
      <c r="L1764" s="2" t="s">
        <v>8669</v>
      </c>
      <c r="M1764" t="s">
        <v>8725</v>
      </c>
      <c r="N1764" s="1" t="s">
        <v>7901</v>
      </c>
      <c r="O1764" t="s">
        <v>0</v>
      </c>
      <c r="P1764" s="162">
        <v>45585</v>
      </c>
      <c r="Q1764" s="295" t="s">
        <v>8685</v>
      </c>
      <c r="R1764" t="s">
        <v>8102</v>
      </c>
      <c r="X1764" t="str">
        <f>F1574</f>
        <v>2017 Design, $2.92, internal fet/diode, no transformer, &lt; 60V in, &lt; 3.5A out, 30WQFN</v>
      </c>
      <c r="AG1764" t="s">
        <v>8666</v>
      </c>
    </row>
    <row r="1765" spans="2:33" x14ac:dyDescent="0.35">
      <c r="C1765" s="187"/>
      <c r="D1765" s="463"/>
      <c r="E1765" s="463" t="str">
        <f>H1765</f>
        <v>TPS561201DDCR</v>
      </c>
      <c r="F1765" s="463" t="s">
        <v>9371</v>
      </c>
      <c r="G1765" s="916" t="s">
        <v>8775</v>
      </c>
      <c r="H1765" t="s">
        <v>6746</v>
      </c>
      <c r="J1765" t="s">
        <v>3339</v>
      </c>
      <c r="K1765" s="336">
        <v>0.16</v>
      </c>
      <c r="L1765" t="s">
        <v>3302</v>
      </c>
      <c r="M1765" t="s">
        <v>8726</v>
      </c>
      <c r="N1765" s="1" t="s">
        <v>6747</v>
      </c>
      <c r="O1765" t="s">
        <v>0</v>
      </c>
      <c r="P1765" s="162">
        <v>45586</v>
      </c>
      <c r="Q1765" s="295" t="s">
        <v>8686</v>
      </c>
      <c r="R1765" t="s">
        <v>8142</v>
      </c>
      <c r="X1765" t="str">
        <f>U1561</f>
        <v xml:space="preserve">Switch vReg: TPS561201, 17Vin 1Aout SOT23-6 $0.16   </v>
      </c>
    </row>
    <row r="1766" spans="2:33" x14ac:dyDescent="0.35">
      <c r="C1766" s="187"/>
      <c r="D1766" s="463"/>
      <c r="E1766" s="463"/>
      <c r="F1766" s="463" t="s">
        <v>8779</v>
      </c>
      <c r="G1766" s="916" t="s">
        <v>8775</v>
      </c>
      <c r="H1766" t="s">
        <v>8779</v>
      </c>
      <c r="J1766" t="s">
        <v>3339</v>
      </c>
      <c r="K1766" s="336">
        <v>1.41</v>
      </c>
      <c r="L1766" t="s">
        <v>8781</v>
      </c>
      <c r="M1766" t="s">
        <v>8790</v>
      </c>
      <c r="N1766" s="1" t="s">
        <v>8778</v>
      </c>
      <c r="O1766" t="s">
        <v>0</v>
      </c>
      <c r="P1766" s="162">
        <v>45587</v>
      </c>
      <c r="Q1766" s="295" t="s">
        <v>8687</v>
      </c>
      <c r="R1766" t="s">
        <v>8780</v>
      </c>
    </row>
    <row r="1767" spans="2:33" x14ac:dyDescent="0.35">
      <c r="C1767" s="187"/>
      <c r="D1767" s="463"/>
      <c r="E1767" s="463"/>
      <c r="F1767" s="463"/>
      <c r="G1767" s="916"/>
      <c r="K1767" s="336"/>
      <c r="N1767" s="1"/>
      <c r="P1767" s="162"/>
      <c r="Q1767" s="295"/>
    </row>
    <row r="1768" spans="2:33" x14ac:dyDescent="0.35">
      <c r="B1768" s="83" t="s">
        <v>3301</v>
      </c>
      <c r="D1768" s="463"/>
      <c r="E1768" s="463"/>
      <c r="F1768" s="463" t="s">
        <v>9375</v>
      </c>
      <c r="G1768" s="916" t="s">
        <v>8775</v>
      </c>
      <c r="H1768" t="s">
        <v>6574</v>
      </c>
      <c r="J1768" t="s">
        <v>7693</v>
      </c>
      <c r="K1768" s="336">
        <v>1</v>
      </c>
      <c r="L1768" t="s">
        <v>3302</v>
      </c>
      <c r="M1768" t="s">
        <v>8730</v>
      </c>
      <c r="N1768" s="1" t="s">
        <v>2966</v>
      </c>
      <c r="O1768" t="s">
        <v>0</v>
      </c>
      <c r="P1768" s="908">
        <v>39101</v>
      </c>
      <c r="Q1768" s="295" t="s">
        <v>8688</v>
      </c>
      <c r="R1768" t="s">
        <v>8731</v>
      </c>
      <c r="X1768" t="str">
        <f>V1062</f>
        <v>vRef: MAX6070BAUT33, 3.3Vout 0.08% 8ppmC max 10mA SOT23-6</v>
      </c>
    </row>
    <row r="1769" spans="2:33" x14ac:dyDescent="0.35">
      <c r="D1769" s="463"/>
      <c r="E1769" s="463"/>
      <c r="F1769" s="463"/>
      <c r="G1769" s="915"/>
      <c r="K1769" s="336"/>
      <c r="M1769" s="914"/>
      <c r="O1769" t="s">
        <v>0</v>
      </c>
    </row>
    <row r="1770" spans="2:33" x14ac:dyDescent="0.35">
      <c r="B1770" s="83" t="s">
        <v>3287</v>
      </c>
      <c r="D1770" s="463"/>
      <c r="E1770" s="415" t="s">
        <v>9450</v>
      </c>
      <c r="F1770" s="463" t="s">
        <v>9376</v>
      </c>
      <c r="G1770" s="916" t="s">
        <v>8775</v>
      </c>
      <c r="H1770" t="s">
        <v>5521</v>
      </c>
      <c r="J1770" t="s">
        <v>7989</v>
      </c>
      <c r="K1770" s="336">
        <v>2.31</v>
      </c>
      <c r="L1770" t="s">
        <v>8657</v>
      </c>
      <c r="M1770" t="s">
        <v>8746</v>
      </c>
      <c r="N1770" s="1" t="s">
        <v>5520</v>
      </c>
      <c r="O1770" t="s">
        <v>0</v>
      </c>
      <c r="P1770" s="162">
        <v>26506</v>
      </c>
      <c r="Q1770" s="295" t="s">
        <v>8697</v>
      </c>
      <c r="R1770" t="s">
        <v>8295</v>
      </c>
      <c r="X1770" t="str">
        <f>V2388</f>
        <v>DcToDc: 5V-to-5V, 1W 200mA 2kV Isolated Unreg 12x10x7mm SMD8 $2.31</v>
      </c>
    </row>
    <row r="1771" spans="2:33" x14ac:dyDescent="0.35">
      <c r="D1771" s="463"/>
      <c r="E1771" s="463"/>
      <c r="F1771" s="463" t="s">
        <v>9377</v>
      </c>
      <c r="G1771" s="916" t="s">
        <v>8775</v>
      </c>
      <c r="H1771" t="s">
        <v>8291</v>
      </c>
      <c r="J1771" t="s">
        <v>7989</v>
      </c>
      <c r="K1771" s="336">
        <v>2.52</v>
      </c>
      <c r="L1771" t="s">
        <v>8657</v>
      </c>
      <c r="M1771" t="s">
        <v>8746</v>
      </c>
      <c r="N1771" s="1" t="s">
        <v>8290</v>
      </c>
      <c r="O1771" t="s">
        <v>0</v>
      </c>
      <c r="P1771" s="162">
        <v>26507</v>
      </c>
      <c r="Q1771" s="295" t="s">
        <v>8698</v>
      </c>
      <c r="R1771" t="s">
        <v>8296</v>
      </c>
      <c r="X1771" t="s">
        <v>8297</v>
      </c>
    </row>
    <row r="1772" spans="2:33" x14ac:dyDescent="0.35">
      <c r="D1772" s="463"/>
      <c r="E1772" s="992" t="s">
        <v>9453</v>
      </c>
      <c r="F1772" s="463"/>
      <c r="G1772" s="916" t="s">
        <v>8775</v>
      </c>
      <c r="H1772" t="s">
        <v>9435</v>
      </c>
      <c r="J1772" t="s">
        <v>9451</v>
      </c>
      <c r="K1772" s="315">
        <v>8.73</v>
      </c>
      <c r="L1772" t="s">
        <v>8657</v>
      </c>
      <c r="M1772" t="s">
        <v>3656</v>
      </c>
      <c r="N1772" s="1" t="s">
        <v>9434</v>
      </c>
      <c r="O1772" t="s">
        <v>0</v>
      </c>
      <c r="P1772" s="162">
        <v>26508</v>
      </c>
      <c r="Q1772" s="295" t="s">
        <v>9452</v>
      </c>
      <c r="R1772" t="s">
        <v>9454</v>
      </c>
    </row>
    <row r="1773" spans="2:33" x14ac:dyDescent="0.35">
      <c r="D1773" s="463"/>
      <c r="E1773" s="463"/>
      <c r="F1773" s="463"/>
      <c r="G1773" s="916"/>
      <c r="K1773" s="336"/>
      <c r="N1773" s="1"/>
      <c r="P1773" s="162"/>
      <c r="Q1773" s="295"/>
    </row>
    <row r="1774" spans="2:33" x14ac:dyDescent="0.35">
      <c r="B1774" s="83" t="s">
        <v>3020</v>
      </c>
      <c r="D1774" s="463"/>
      <c r="E1774" s="463"/>
      <c r="F1774" s="463" t="s">
        <v>9378</v>
      </c>
      <c r="G1774" s="916" t="s">
        <v>8775</v>
      </c>
      <c r="H1774" t="s">
        <v>8748</v>
      </c>
      <c r="J1774" t="s">
        <v>7984</v>
      </c>
      <c r="K1774" s="336">
        <v>1.9</v>
      </c>
      <c r="L1774" s="2" t="s">
        <v>8747</v>
      </c>
      <c r="M1774" t="s">
        <v>8749</v>
      </c>
      <c r="N1774" s="1" t="s">
        <v>7986</v>
      </c>
      <c r="O1774" t="s">
        <v>0</v>
      </c>
      <c r="P1774" s="162">
        <v>26511</v>
      </c>
      <c r="Q1774" s="295" t="s">
        <v>8699</v>
      </c>
      <c r="R1774" t="s">
        <v>8750</v>
      </c>
      <c r="X1774" t="str">
        <f>T1164</f>
        <v>CANbus Trancvr: Isolated, 1500V, 1.7V to 5.5V uP pwr, 5V CANbus pwr, 12MHz, Ri-8 package (similar to SO-8 yet 10mm wide), #ADM3050EBRIZ-RL</v>
      </c>
    </row>
    <row r="1775" spans="2:33" x14ac:dyDescent="0.35">
      <c r="D1775" s="463"/>
      <c r="E1775" s="992" t="s">
        <v>9453</v>
      </c>
      <c r="F1775" s="463"/>
      <c r="G1775" s="916"/>
      <c r="H1775" t="s">
        <v>9458</v>
      </c>
      <c r="J1775" t="s">
        <v>9455</v>
      </c>
      <c r="K1775" s="336">
        <v>0.38</v>
      </c>
      <c r="L1775" t="s">
        <v>3324</v>
      </c>
      <c r="M1775" t="s">
        <v>9459</v>
      </c>
      <c r="N1775" s="1" t="s">
        <v>4721</v>
      </c>
      <c r="O1775" t="s">
        <v>0</v>
      </c>
      <c r="P1775" s="162">
        <v>26512</v>
      </c>
      <c r="Q1775" s="295" t="s">
        <v>9456</v>
      </c>
      <c r="R1775" t="s">
        <v>9457</v>
      </c>
    </row>
    <row r="1776" spans="2:33" x14ac:dyDescent="0.35">
      <c r="C1776" s="351"/>
      <c r="T1776" t="s">
        <v>0</v>
      </c>
    </row>
    <row r="1777" spans="2:24" x14ac:dyDescent="0.35">
      <c r="B1777" s="83" t="s">
        <v>4746</v>
      </c>
      <c r="D1777" s="463"/>
      <c r="E1777" s="463"/>
      <c r="F1777" s="463" t="s">
        <v>9388</v>
      </c>
      <c r="G1777" s="916" t="s">
        <v>8775</v>
      </c>
      <c r="H1777" t="s">
        <v>7972</v>
      </c>
      <c r="J1777" t="s">
        <v>7971</v>
      </c>
      <c r="K1777" s="887">
        <v>0.21</v>
      </c>
      <c r="L1777" t="s">
        <v>3324</v>
      </c>
      <c r="M1777" t="s">
        <v>8753</v>
      </c>
      <c r="N1777" s="1" t="s">
        <v>7970</v>
      </c>
      <c r="O1777" t="s">
        <v>0</v>
      </c>
      <c r="P1777" s="162">
        <v>41241</v>
      </c>
      <c r="Q1777" s="295" t="s">
        <v>8700</v>
      </c>
      <c r="R1777" t="s">
        <v>8751</v>
      </c>
      <c r="X1777" t="str">
        <f>H1499</f>
        <v>ELD217 Opto Cplr, 2ch NPN, 3KV, 0.5mA input with 0.4mA output (100% @ 1mA), SO-8, $0.21</v>
      </c>
    </row>
    <row r="1778" spans="2:24" x14ac:dyDescent="0.35">
      <c r="D1778" s="463"/>
      <c r="E1778" s="463"/>
      <c r="F1778" s="463"/>
      <c r="G1778" s="916"/>
      <c r="K1778" s="887"/>
      <c r="N1778" s="1"/>
      <c r="P1778" s="162"/>
      <c r="Q1778" s="295"/>
    </row>
    <row r="1779" spans="2:24" x14ac:dyDescent="0.35">
      <c r="B1779" s="83" t="s">
        <v>3295</v>
      </c>
      <c r="D1779" s="463"/>
      <c r="E1779" s="463"/>
      <c r="F1779" s="463" t="s">
        <v>9138</v>
      </c>
      <c r="G1779" s="916" t="s">
        <v>8775</v>
      </c>
      <c r="H1779" t="s">
        <v>9138</v>
      </c>
      <c r="J1779" t="s">
        <v>3339</v>
      </c>
      <c r="K1779" s="336">
        <v>0.49</v>
      </c>
      <c r="L1779" t="s">
        <v>3296</v>
      </c>
      <c r="M1779" t="s">
        <v>8737</v>
      </c>
      <c r="N1779" s="1" t="s">
        <v>9139</v>
      </c>
      <c r="O1779" t="s">
        <v>0</v>
      </c>
      <c r="P1779" s="162">
        <v>44107</v>
      </c>
      <c r="Q1779" s="295" t="s">
        <v>8873</v>
      </c>
      <c r="R1779" t="s">
        <v>9140</v>
      </c>
      <c r="X1779" t="str">
        <f>AB1079</f>
        <v>TLV906x, 10MHz, 0.2uS Rec, 2mVos max OT, 4pF, 25pA typ 85C, 6V/uS, 80dB min OT, In -0.1 to (Vcc-1.4), Out 0.15V to (Vcc-0.15V), 750uA/ch, $0.49</v>
      </c>
    </row>
    <row r="1780" spans="2:24" x14ac:dyDescent="0.35">
      <c r="D1780" s="463"/>
      <c r="E1780" s="463"/>
      <c r="F1780" s="463" t="s">
        <v>9379</v>
      </c>
      <c r="G1780" s="916" t="s">
        <v>8775</v>
      </c>
      <c r="H1780" t="s">
        <v>8786</v>
      </c>
      <c r="J1780" t="s">
        <v>3339</v>
      </c>
      <c r="K1780" s="336">
        <v>0.13</v>
      </c>
      <c r="L1780" t="s">
        <v>3296</v>
      </c>
      <c r="M1780" t="s">
        <v>8737</v>
      </c>
      <c r="N1780" s="1" t="s">
        <v>8784</v>
      </c>
      <c r="O1780" t="s">
        <v>0</v>
      </c>
      <c r="P1780" s="162">
        <v>44101</v>
      </c>
      <c r="Q1780" s="295" t="s">
        <v>8689</v>
      </c>
      <c r="R1780" t="s">
        <v>7705</v>
      </c>
      <c r="X1780" t="str">
        <f>AB1072</f>
        <v xml:space="preserve">LMV324A, 1MHz, 1uS Rec, 5mVos OT, 5pF, 85nA mx 85°C (ST datasheet), 1.7V/uS, 65dB min OT, In -0.1 to (Vcc-1.4), Out 0.15V to (Vcc-0.15V), $0.12/4ch, Ti "A" version is different from others </v>
      </c>
    </row>
    <row r="1781" spans="2:24" x14ac:dyDescent="0.35">
      <c r="D1781" s="463"/>
      <c r="E1781" s="463"/>
      <c r="F1781" s="463"/>
      <c r="G1781" s="916"/>
      <c r="K1781" s="336"/>
      <c r="N1781" s="1"/>
      <c r="P1781" s="162"/>
      <c r="Q1781" s="295"/>
    </row>
    <row r="1782" spans="2:24" x14ac:dyDescent="0.35">
      <c r="D1782" s="463"/>
      <c r="E1782" s="463" t="str">
        <f>H1782</f>
        <v>TLV2333IDR</v>
      </c>
      <c r="F1782" s="463" t="s">
        <v>9371</v>
      </c>
      <c r="G1782" s="916" t="s">
        <v>8775</v>
      </c>
      <c r="H1782" t="s">
        <v>8752</v>
      </c>
      <c r="J1782" t="s">
        <v>3339</v>
      </c>
      <c r="K1782" s="336">
        <v>1.1200000000000001</v>
      </c>
      <c r="L1782" t="s">
        <v>3324</v>
      </c>
      <c r="M1782" t="s">
        <v>8734</v>
      </c>
      <c r="N1782" s="1" t="s">
        <v>7055</v>
      </c>
      <c r="O1782" t="s">
        <v>0</v>
      </c>
      <c r="P1782" s="162">
        <v>44105</v>
      </c>
      <c r="Q1782" s="295" t="s">
        <v>8693</v>
      </c>
      <c r="R1782" t="s">
        <v>8101</v>
      </c>
      <c r="X1782" t="str">
        <f>AB1109</f>
        <v>TLV2333, 2Ch, $1.12, 350KHz, 15uVos mx 25C, 125pA typ 120C, .16V/uS, 102dB min, In -.1V to (Vcc+0.1V), Out 100mV to (Vcc-100mV), SO-8</v>
      </c>
    </row>
    <row r="1783" spans="2:24" x14ac:dyDescent="0.35">
      <c r="D1783" s="463"/>
      <c r="E1783" s="463"/>
      <c r="F1783" s="463"/>
      <c r="G1783" s="916" t="s">
        <v>8775</v>
      </c>
      <c r="H1783" s="345" t="s">
        <v>7701</v>
      </c>
      <c r="I1783" s="345"/>
      <c r="J1783" s="345" t="s">
        <v>3339</v>
      </c>
      <c r="K1783" s="948">
        <v>0.85</v>
      </c>
      <c r="L1783" s="345" t="s">
        <v>3324</v>
      </c>
      <c r="M1783" s="345" t="s">
        <v>8734</v>
      </c>
      <c r="N1783" s="886" t="s">
        <v>7699</v>
      </c>
      <c r="O1783" s="345" t="s">
        <v>0</v>
      </c>
      <c r="P1783" s="930">
        <v>44102</v>
      </c>
      <c r="Q1783" s="885" t="s">
        <v>8690</v>
      </c>
      <c r="R1783" s="345" t="s">
        <v>7704</v>
      </c>
      <c r="S1783" s="345"/>
      <c r="T1783" s="345"/>
      <c r="U1783" s="345"/>
      <c r="V1783" s="345"/>
      <c r="W1783" s="345"/>
      <c r="X1783" s="345" t="str">
        <f>AB1089</f>
        <v>LMV794, 2Ch, $0.85, 88MHz, 1.6mVos mx OT, 25pA max OT, 28V/uS, 75dB min OT, In 0 to (Vcc-1.3), Out 0.3V to (Vcc-0.3V)</v>
      </c>
    </row>
    <row r="1784" spans="2:24" x14ac:dyDescent="0.35">
      <c r="D1784" s="463"/>
      <c r="E1784" s="463"/>
      <c r="F1784" s="463"/>
    </row>
    <row r="1785" spans="2:24" x14ac:dyDescent="0.35">
      <c r="D1785" s="463"/>
      <c r="E1785" s="463" t="str">
        <f>H1785</f>
        <v>OPA388IDR</v>
      </c>
      <c r="F1785" s="463" t="s">
        <v>9371</v>
      </c>
      <c r="G1785" s="916" t="s">
        <v>8775</v>
      </c>
      <c r="H1785" t="s">
        <v>7702</v>
      </c>
      <c r="J1785" t="s">
        <v>3339</v>
      </c>
      <c r="K1785" s="336">
        <v>1.1200000000000001</v>
      </c>
      <c r="L1785" t="s">
        <v>3324</v>
      </c>
      <c r="M1785" t="s">
        <v>8738</v>
      </c>
      <c r="N1785" s="1" t="s">
        <v>6912</v>
      </c>
      <c r="O1785" t="s">
        <v>0</v>
      </c>
      <c r="P1785" s="162">
        <v>44103</v>
      </c>
      <c r="Q1785" s="295" t="s">
        <v>8691</v>
      </c>
      <c r="R1785" t="s">
        <v>7703</v>
      </c>
      <c r="X1785" t="str">
        <f>AB1095</f>
        <v>OPA388, 1Ch, $1.12, 10MHz, 7uVos mx OT, 400pA mx OT, 5V/uS, 124dB min OT, In -.05V to (Vcc+0.1V), Out 300mV to (Vcc-300mV)</v>
      </c>
    </row>
    <row r="1786" spans="2:24" x14ac:dyDescent="0.35">
      <c r="D1786" s="463"/>
      <c r="E1786" s="463" t="str">
        <f>H1786</f>
        <v>LMV793MFX/NOPB   (ti, 3k reel, Pin1 = Out),    LMV793MF/NOPB   (ti, 1k reel, Pin1 = Out)</v>
      </c>
      <c r="F1786" s="463" t="s">
        <v>9371</v>
      </c>
      <c r="G1786" s="916" t="s">
        <v>8775</v>
      </c>
      <c r="H1786" t="s">
        <v>9173</v>
      </c>
      <c r="J1786" t="s">
        <v>3339</v>
      </c>
      <c r="K1786" s="336">
        <v>0.53</v>
      </c>
      <c r="L1786" t="s">
        <v>9048</v>
      </c>
      <c r="M1786" t="s">
        <v>9178</v>
      </c>
      <c r="N1786" s="1" t="s">
        <v>9171</v>
      </c>
      <c r="O1786" t="s">
        <v>0</v>
      </c>
      <c r="P1786" s="162">
        <v>44112</v>
      </c>
      <c r="Q1786" s="295" t="s">
        <v>9172</v>
      </c>
      <c r="R1786" t="s">
        <v>9174</v>
      </c>
      <c r="X1786">
        <f>AB1094</f>
        <v>0</v>
      </c>
    </row>
    <row r="1787" spans="2:24" x14ac:dyDescent="0.35">
      <c r="D1787" s="463"/>
      <c r="E1787" s="463"/>
      <c r="F1787" s="463" t="s">
        <v>9380</v>
      </c>
      <c r="G1787" s="916" t="s">
        <v>8775</v>
      </c>
      <c r="H1787" t="s">
        <v>9179</v>
      </c>
      <c r="J1787" t="s">
        <v>3339</v>
      </c>
      <c r="K1787" s="336">
        <v>0.22</v>
      </c>
      <c r="L1787" t="s">
        <v>9048</v>
      </c>
      <c r="M1787" t="s">
        <v>9178</v>
      </c>
      <c r="N1787" s="1" t="s">
        <v>9047</v>
      </c>
      <c r="O1787" t="s">
        <v>0</v>
      </c>
      <c r="P1787" s="162">
        <v>44104</v>
      </c>
      <c r="Q1787" s="295" t="s">
        <v>8692</v>
      </c>
      <c r="R1787" t="s">
        <v>9175</v>
      </c>
      <c r="X1787" t="str">
        <f>AB1079</f>
        <v>TLV906x, 10MHz, 0.2uS Rec, 2mVos max OT, 4pF, 25pA typ 85C, 6V/uS, 80dB min OT, In -0.1 to (Vcc-1.4), Out 0.15V to (Vcc-0.15V), 750uA/ch, $0.49</v>
      </c>
    </row>
    <row r="1788" spans="2:24" x14ac:dyDescent="0.35">
      <c r="D1788" s="463"/>
      <c r="E1788" s="463" t="str">
        <f>H1788</f>
        <v>LMV321AS5X (On Semi, Pin4 = Out),       LMV321AUIDBVR (TI, 3k reel, Sot23-5, $0.13, Pin4 = Out)              (Do Not Use #LMV321AID, "AID" and "AUID" have different PIN 1 -- CAREFUL)                   (Not "LM321", we need "LMV321")</v>
      </c>
      <c r="F1788" s="463" t="s">
        <v>9371</v>
      </c>
      <c r="G1788" s="916" t="s">
        <v>8775</v>
      </c>
      <c r="H1788" t="s">
        <v>9180</v>
      </c>
      <c r="J1788" t="s">
        <v>3362</v>
      </c>
      <c r="K1788" s="336">
        <v>0.13</v>
      </c>
      <c r="L1788" t="s">
        <v>3319</v>
      </c>
      <c r="M1788" t="s">
        <v>9177</v>
      </c>
      <c r="N1788" s="1" t="s">
        <v>8785</v>
      </c>
      <c r="O1788" t="s">
        <v>0</v>
      </c>
      <c r="P1788" s="162">
        <v>44106</v>
      </c>
      <c r="Q1788" s="295" t="s">
        <v>8782</v>
      </c>
      <c r="R1788" t="s">
        <v>9176</v>
      </c>
      <c r="X1788" t="str">
        <f>AB1072</f>
        <v xml:space="preserve">LMV324A, 1MHz, 1uS Rec, 5mVos OT, 5pF, 85nA mx 85°C (ST datasheet), 1.7V/uS, 65dB min OT, In -0.1 to (Vcc-1.4), Out 0.15V to (Vcc-0.15V), $0.12/4ch, Ti "A" version is different from others </v>
      </c>
    </row>
    <row r="1789" spans="2:24" x14ac:dyDescent="0.35">
      <c r="D1789" s="463"/>
      <c r="E1789" s="463"/>
      <c r="F1789" s="463"/>
      <c r="G1789" s="915"/>
      <c r="K1789" s="336"/>
    </row>
    <row r="1790" spans="2:24" x14ac:dyDescent="0.35">
      <c r="B1790" s="83" t="s">
        <v>3641</v>
      </c>
      <c r="D1790" s="463"/>
      <c r="E1790" s="463" t="str">
        <f>H1790</f>
        <v>LMV339IPT</v>
      </c>
      <c r="F1790" s="463" t="s">
        <v>9371</v>
      </c>
      <c r="G1790" s="916" t="s">
        <v>8775</v>
      </c>
      <c r="H1790" t="s">
        <v>8003</v>
      </c>
      <c r="J1790" t="s">
        <v>7707</v>
      </c>
      <c r="K1790" s="336">
        <v>0.14000000000000001</v>
      </c>
      <c r="L1790" t="s">
        <v>3296</v>
      </c>
      <c r="M1790" t="s">
        <v>8744</v>
      </c>
      <c r="N1790" s="1" t="s">
        <v>6462</v>
      </c>
      <c r="O1790" t="s">
        <v>0</v>
      </c>
      <c r="P1790" s="162">
        <v>44201</v>
      </c>
      <c r="Q1790" s="295" t="s">
        <v>8695</v>
      </c>
      <c r="R1790" t="s">
        <v>8285</v>
      </c>
      <c r="X1790" t="str">
        <f>S1505</f>
        <v>LMV339, 4x, OC out, 9mVos, 400nA OT, -0.1 to Vcc-1, 0.4uSec/100mV, 5Vcc, $0.14/4ch, 87uA/ch, Arrow ST #LMV339IPT Tssop14 is $0.14</v>
      </c>
    </row>
    <row r="1791" spans="2:24" x14ac:dyDescent="0.35">
      <c r="D1791" s="463"/>
      <c r="E1791" s="463" t="str">
        <f>H1791</f>
        <v>TLV1805DBVR</v>
      </c>
      <c r="F1791" s="463" t="s">
        <v>9371</v>
      </c>
      <c r="G1791" s="916" t="s">
        <v>8775</v>
      </c>
      <c r="H1791" t="s">
        <v>8284</v>
      </c>
      <c r="J1791" t="s">
        <v>3339</v>
      </c>
      <c r="K1791" s="336">
        <v>0.34</v>
      </c>
      <c r="L1791" t="s">
        <v>3302</v>
      </c>
      <c r="M1791" t="s">
        <v>8745</v>
      </c>
      <c r="N1791" s="1" t="s">
        <v>8283</v>
      </c>
      <c r="O1791" t="s">
        <v>0</v>
      </c>
      <c r="P1791" s="162">
        <v>44202</v>
      </c>
      <c r="Q1791" s="295" t="s">
        <v>8696</v>
      </c>
      <c r="R1791" t="s">
        <v>8286</v>
      </c>
      <c r="X1791" t="s">
        <v>8287</v>
      </c>
    </row>
    <row r="1792" spans="2:24" x14ac:dyDescent="0.35">
      <c r="D1792" s="463"/>
      <c r="E1792" s="463"/>
      <c r="F1792" s="463"/>
      <c r="G1792" s="916"/>
      <c r="K1792" s="336"/>
      <c r="N1792" s="1"/>
      <c r="P1792" s="162"/>
      <c r="Q1792" s="295"/>
    </row>
    <row r="1793" spans="2:35" x14ac:dyDescent="0.35">
      <c r="B1793" s="83" t="s">
        <v>6344</v>
      </c>
      <c r="D1793" s="463"/>
      <c r="E1793" s="463"/>
      <c r="F1793" s="463" t="s">
        <v>3000</v>
      </c>
      <c r="G1793" s="916" t="s">
        <v>8775</v>
      </c>
      <c r="H1793" t="s">
        <v>3000</v>
      </c>
      <c r="J1793" t="s">
        <v>3339</v>
      </c>
      <c r="K1793" s="336">
        <v>0.35</v>
      </c>
      <c r="L1793" t="s">
        <v>3297</v>
      </c>
      <c r="M1793" t="s">
        <v>8739</v>
      </c>
      <c r="N1793" s="1" t="s">
        <v>2999</v>
      </c>
      <c r="O1793" t="s">
        <v>0</v>
      </c>
      <c r="P1793" s="908">
        <v>42411</v>
      </c>
      <c r="Q1793" s="295" t="s">
        <v>8694</v>
      </c>
      <c r="R1793" t="s">
        <v>8979</v>
      </c>
      <c r="X1793" t="str">
        <f>AB1116</f>
        <v>NLAST4051, 8:1 Mux, 5nA mx OT, 5.5Vps dual, 0.8/2V digital, 8pF, 46Ω mx OT, 18Ω Match, 5Ω Flat, V+/V- Clamps?, TSSOP-16, leakage spec has +-1V +-Headroom, $.35</v>
      </c>
    </row>
    <row r="1794" spans="2:35" x14ac:dyDescent="0.35">
      <c r="D1794" s="463"/>
      <c r="E1794" s="463"/>
      <c r="F1794" s="463"/>
      <c r="G1794" s="929"/>
      <c r="H1794" s="345" t="s">
        <v>8975</v>
      </c>
      <c r="I1794" s="345"/>
      <c r="J1794" s="345" t="s">
        <v>8976</v>
      </c>
      <c r="K1794" s="948">
        <v>0.11</v>
      </c>
      <c r="L1794" s="345" t="s">
        <v>3297</v>
      </c>
      <c r="M1794" s="345" t="s">
        <v>8740</v>
      </c>
      <c r="N1794" s="886" t="s">
        <v>6392</v>
      </c>
      <c r="O1794" s="345" t="s">
        <v>0</v>
      </c>
      <c r="P1794" s="949">
        <v>42327</v>
      </c>
      <c r="Q1794" s="885" t="s">
        <v>8944</v>
      </c>
      <c r="R1794" s="345" t="s">
        <v>8980</v>
      </c>
      <c r="S1794" s="345"/>
      <c r="T1794" s="345"/>
      <c r="U1794" s="345"/>
      <c r="V1794" s="345"/>
      <c r="W1794" s="345"/>
      <c r="X1794" s="345" t="str">
        <f>AB1144</f>
        <v>74VHC4051A, 8:1 Mux, 1uA mx OT, 5.5Vps single, 30%/70% digital, 6pF, 46Ω mx OT, 18Ω Match, V+/V- Clamps, leakage spec has 0V +-Headroom, TSSOP-16, $.11</v>
      </c>
    </row>
    <row r="1795" spans="2:35" x14ac:dyDescent="0.35">
      <c r="D1795" s="463"/>
      <c r="E1795" s="463" t="str">
        <f>H1795</f>
        <v>TMUX1308QPWRQ1 (ti, 2k reel, complex input over-voltage circuit, A0 is pin 11 -- different from other muxes ),            TMUX1308PWR (non-Q version; this is ok too),        TMUX1208/9 is 10x more leakage.</v>
      </c>
      <c r="F1795" s="463" t="s">
        <v>9371</v>
      </c>
      <c r="G1795" s="916" t="s">
        <v>8775</v>
      </c>
      <c r="H1795" t="s">
        <v>9126</v>
      </c>
      <c r="J1795" t="s">
        <v>3339</v>
      </c>
      <c r="K1795" s="336">
        <v>0.15</v>
      </c>
      <c r="L1795" t="s">
        <v>3297</v>
      </c>
      <c r="M1795" s="2" t="s">
        <v>9132</v>
      </c>
      <c r="N1795" s="1" t="s">
        <v>9141</v>
      </c>
      <c r="O1795" t="s">
        <v>0</v>
      </c>
      <c r="P1795" s="908">
        <v>42435</v>
      </c>
      <c r="Q1795" s="295" t="s">
        <v>9124</v>
      </c>
      <c r="R1795" t="s">
        <v>9125</v>
      </c>
      <c r="T1795" s="345"/>
      <c r="U1795" s="345"/>
      <c r="V1795" s="345"/>
      <c r="W1795" s="345"/>
      <c r="X1795" s="345"/>
    </row>
    <row r="1796" spans="2:35" x14ac:dyDescent="0.35">
      <c r="D1796" s="989" t="s">
        <v>9394</v>
      </c>
      <c r="E1796" s="463"/>
      <c r="F1796" s="463" t="s">
        <v>9371</v>
      </c>
      <c r="G1796" s="916" t="s">
        <v>8775</v>
      </c>
      <c r="H1796" t="s">
        <v>9130</v>
      </c>
      <c r="J1796" t="s">
        <v>3339</v>
      </c>
      <c r="K1796" s="336">
        <v>0.15</v>
      </c>
      <c r="L1796" t="s">
        <v>3297</v>
      </c>
      <c r="M1796" s="2" t="s">
        <v>9131</v>
      </c>
      <c r="N1796" s="1" t="s">
        <v>9127</v>
      </c>
      <c r="O1796" t="s">
        <v>0</v>
      </c>
      <c r="P1796" s="908">
        <v>42446</v>
      </c>
      <c r="Q1796" s="295" t="s">
        <v>9128</v>
      </c>
      <c r="R1796" t="s">
        <v>9129</v>
      </c>
      <c r="T1796" s="345"/>
      <c r="U1796" s="345"/>
      <c r="V1796" s="345"/>
      <c r="W1796" s="345"/>
      <c r="X1796" s="345"/>
    </row>
    <row r="1797" spans="2:35" x14ac:dyDescent="0.35">
      <c r="D1797" s="463"/>
      <c r="E1797" s="463"/>
      <c r="F1797" s="463"/>
      <c r="G1797" s="915"/>
      <c r="K1797" s="9"/>
      <c r="P1797" s="162"/>
    </row>
    <row r="1798" spans="2:35" x14ac:dyDescent="0.35">
      <c r="B1798" s="83" t="s">
        <v>8004</v>
      </c>
      <c r="D1798" s="463"/>
      <c r="E1798" s="463"/>
      <c r="F1798" s="463" t="s">
        <v>9381</v>
      </c>
      <c r="G1798" s="916" t="s">
        <v>8775</v>
      </c>
      <c r="H1798" t="s">
        <v>8978</v>
      </c>
      <c r="J1798" t="s">
        <v>3339</v>
      </c>
      <c r="K1798" s="336">
        <v>0.11</v>
      </c>
      <c r="L1798" t="s">
        <v>8743</v>
      </c>
      <c r="M1798" t="s">
        <v>8741</v>
      </c>
      <c r="N1798" s="1" t="s">
        <v>8742</v>
      </c>
      <c r="O1798" t="s">
        <v>0</v>
      </c>
      <c r="P1798" s="911">
        <v>42521</v>
      </c>
      <c r="Q1798" s="295" t="s">
        <v>8946</v>
      </c>
      <c r="R1798" t="s">
        <v>8981</v>
      </c>
      <c r="X1798" t="str">
        <f>AB1120</f>
        <v>NLAST4599DFT2G, 2:1 Mux, 10nA mx OT, 5.5Vps single, 0.8/2V digital, 10pF, 50Ω mx OT, 2Ω Match, 4Ω Flat, V+/V- Clamps?, leakage spec has +-1V +-Headroom, SOT-363, $.11</v>
      </c>
    </row>
    <row r="1799" spans="2:35" x14ac:dyDescent="0.35">
      <c r="D1799" s="463"/>
      <c r="E1799" s="463"/>
      <c r="F1799" s="463"/>
      <c r="G1799" s="916" t="s">
        <v>0</v>
      </c>
      <c r="H1799" s="345" t="s">
        <v>8977</v>
      </c>
      <c r="I1799" s="345"/>
      <c r="J1799" s="345" t="s">
        <v>8976</v>
      </c>
      <c r="K1799" s="948">
        <v>0.11</v>
      </c>
      <c r="L1799" s="345" t="s">
        <v>3297</v>
      </c>
      <c r="M1799" s="345" t="s">
        <v>8943</v>
      </c>
      <c r="N1799" s="886" t="s">
        <v>8958</v>
      </c>
      <c r="O1799" s="345" t="s">
        <v>0</v>
      </c>
      <c r="P1799" s="950">
        <v>42358</v>
      </c>
      <c r="Q1799" s="885" t="s">
        <v>8945</v>
      </c>
      <c r="R1799" s="345" t="s">
        <v>8982</v>
      </c>
      <c r="S1799" s="345"/>
      <c r="X1799" t="str">
        <f>AB1145</f>
        <v>74VHC4053A, 3x SPDT, 1uA mx OT, 5.5Vps single, 30%/70% digital, 6pF, 46Ω mx OT, 18Ω Match, V+/V- Clamps, 5.5Vps, leakage spec has 0V +-Headroom, TSSOP-16, $.11</v>
      </c>
    </row>
    <row r="1800" spans="2:35" x14ac:dyDescent="0.35">
      <c r="D1800" s="463"/>
      <c r="E1800" s="463"/>
      <c r="F1800" s="463"/>
      <c r="G1800" s="915"/>
      <c r="K1800" s="9"/>
      <c r="P1800" s="162"/>
    </row>
    <row r="1801" spans="2:35" x14ac:dyDescent="0.35">
      <c r="B1801" s="83" t="s">
        <v>8727</v>
      </c>
      <c r="C1801" s="187"/>
      <c r="D1801" s="463"/>
      <c r="E1801" s="463"/>
      <c r="F1801" s="463"/>
      <c r="G1801" s="916" t="s">
        <v>8775</v>
      </c>
      <c r="H1801" s="345" t="s">
        <v>8664</v>
      </c>
      <c r="I1801" s="345"/>
      <c r="J1801" s="345" t="s">
        <v>3339</v>
      </c>
      <c r="K1801" s="944">
        <v>1.1399999999999999</v>
      </c>
      <c r="L1801" s="945" t="s">
        <v>8668</v>
      </c>
      <c r="M1801" s="345" t="s">
        <v>8728</v>
      </c>
      <c r="N1801" s="886" t="s">
        <v>5749</v>
      </c>
      <c r="O1801" s="345" t="s">
        <v>0</v>
      </c>
      <c r="P1801" s="930">
        <v>45587</v>
      </c>
      <c r="Q1801" s="885" t="s">
        <v>8687</v>
      </c>
      <c r="R1801" s="345" t="s">
        <v>8777</v>
      </c>
      <c r="S1801" s="345"/>
      <c r="T1801" s="345"/>
      <c r="U1801" s="345"/>
      <c r="V1801" s="345"/>
      <c r="W1801" s="345"/>
      <c r="AG1801" t="s">
        <v>8667</v>
      </c>
      <c r="AI1801" t="s">
        <v>8729</v>
      </c>
    </row>
    <row r="1802" spans="2:35" x14ac:dyDescent="0.35">
      <c r="C1802" s="187"/>
      <c r="D1802" s="463" t="s">
        <v>9414</v>
      </c>
      <c r="E1802" s="463"/>
      <c r="F1802" s="463" t="s">
        <v>9371</v>
      </c>
      <c r="G1802" s="916" t="s">
        <v>8775</v>
      </c>
      <c r="H1802" t="s">
        <v>9033</v>
      </c>
      <c r="J1802" t="s">
        <v>7962</v>
      </c>
      <c r="K1802" s="887">
        <v>1.1399999999999999</v>
      </c>
      <c r="L1802" s="2" t="s">
        <v>9034</v>
      </c>
      <c r="M1802" t="s">
        <v>9035</v>
      </c>
      <c r="N1802" s="1" t="s">
        <v>9036</v>
      </c>
      <c r="O1802" t="s">
        <v>0</v>
      </c>
      <c r="P1802" s="162">
        <v>45588</v>
      </c>
      <c r="Q1802" s="295" t="s">
        <v>9037</v>
      </c>
      <c r="R1802" t="s">
        <v>9038</v>
      </c>
    </row>
    <row r="1803" spans="2:35" x14ac:dyDescent="0.35">
      <c r="D1803" s="463"/>
      <c r="E1803" s="463"/>
      <c r="F1803" s="463"/>
      <c r="G1803" s="915"/>
      <c r="K1803" s="9"/>
      <c r="O1803" t="s">
        <v>0</v>
      </c>
    </row>
    <row r="1804" spans="2:35" x14ac:dyDescent="0.35">
      <c r="B1804" s="83" t="s">
        <v>3273</v>
      </c>
      <c r="C1804" s="187" t="s">
        <v>5625</v>
      </c>
      <c r="D1804" s="463"/>
      <c r="E1804" s="463"/>
      <c r="F1804" s="463" t="s">
        <v>9415</v>
      </c>
      <c r="G1804" s="916" t="s">
        <v>8775</v>
      </c>
      <c r="H1804" t="s">
        <v>4125</v>
      </c>
      <c r="J1804" t="s">
        <v>7969</v>
      </c>
      <c r="K1804" s="336">
        <v>0.37</v>
      </c>
      <c r="L1804" s="2" t="s">
        <v>9416</v>
      </c>
      <c r="M1804" t="s">
        <v>8756</v>
      </c>
      <c r="N1804" s="1" t="s">
        <v>4124</v>
      </c>
      <c r="O1804" t="s">
        <v>0</v>
      </c>
      <c r="P1804" s="162">
        <v>86701</v>
      </c>
      <c r="Q1804" s="295" t="s">
        <v>8701</v>
      </c>
      <c r="R1804" t="s">
        <v>8755</v>
      </c>
      <c r="X1804" t="str">
        <f>U1384</f>
        <v>DMT10H009SPS, N-Chan, 8PwrTdfn, 100V, 8mΩ, 4.5Vgs th, $0.37</v>
      </c>
    </row>
    <row r="1805" spans="2:35" x14ac:dyDescent="0.35">
      <c r="C1805" s="187"/>
      <c r="D1805" s="463"/>
      <c r="E1805" s="463"/>
      <c r="F1805" s="463" t="s">
        <v>4084</v>
      </c>
      <c r="G1805" s="916" t="s">
        <v>8775</v>
      </c>
      <c r="H1805" t="s">
        <v>3897</v>
      </c>
      <c r="J1805" t="s">
        <v>8976</v>
      </c>
      <c r="K1805" s="336">
        <v>0.65</v>
      </c>
      <c r="L1805" s="2" t="s">
        <v>9417</v>
      </c>
      <c r="M1805" t="s">
        <v>8756</v>
      </c>
      <c r="N1805" s="1" t="s">
        <v>9028</v>
      </c>
      <c r="O1805" t="s">
        <v>0</v>
      </c>
      <c r="P1805" s="162">
        <v>86714</v>
      </c>
      <c r="Q1805" s="295" t="s">
        <v>9029</v>
      </c>
      <c r="R1805" t="s">
        <v>9030</v>
      </c>
    </row>
    <row r="1806" spans="2:35" x14ac:dyDescent="0.35">
      <c r="D1806" s="463" t="str">
        <f>H1806</f>
        <v>DMN6075S</v>
      </c>
      <c r="E1806" s="463"/>
      <c r="F1806" s="463" t="s">
        <v>9371</v>
      </c>
      <c r="G1806" s="916" t="s">
        <v>8775</v>
      </c>
      <c r="H1806" t="s">
        <v>5682</v>
      </c>
      <c r="J1806" t="s">
        <v>7969</v>
      </c>
      <c r="K1806" s="9">
        <v>0.06</v>
      </c>
      <c r="L1806" t="s">
        <v>6873</v>
      </c>
      <c r="M1806" t="s">
        <v>8754</v>
      </c>
      <c r="N1806" s="1" t="s">
        <v>5681</v>
      </c>
      <c r="O1806" t="s">
        <v>0</v>
      </c>
      <c r="P1806" s="162">
        <v>86702</v>
      </c>
      <c r="Q1806" s="295" t="s">
        <v>8702</v>
      </c>
      <c r="R1806" t="s">
        <v>8469</v>
      </c>
      <c r="X1806" t="str">
        <f>U1393</f>
        <v>DMN6075S, N-Chan, Sot23, 60V, 85mΩ, 3.5Vgs th fully on, $0.06</v>
      </c>
    </row>
    <row r="1807" spans="2:35" x14ac:dyDescent="0.35">
      <c r="D1807" s="463" t="str">
        <f>H1807</f>
        <v>DMG2302UK ('UK', not 'U')</v>
      </c>
      <c r="E1807" s="463"/>
      <c r="F1807" s="463" t="s">
        <v>9371</v>
      </c>
      <c r="G1807" s="916" t="s">
        <v>8775</v>
      </c>
      <c r="H1807" t="s">
        <v>7039</v>
      </c>
      <c r="J1807" t="s">
        <v>7969</v>
      </c>
      <c r="K1807" s="9">
        <v>0.05</v>
      </c>
      <c r="L1807" t="s">
        <v>6873</v>
      </c>
      <c r="M1807" t="s">
        <v>8758</v>
      </c>
      <c r="N1807" s="1" t="s">
        <v>7038</v>
      </c>
      <c r="O1807" t="s">
        <v>0</v>
      </c>
      <c r="P1807" s="162">
        <v>86703</v>
      </c>
      <c r="Q1807" s="295" t="s">
        <v>8703</v>
      </c>
      <c r="R1807" t="s">
        <v>8470</v>
      </c>
      <c r="X1807" t="str">
        <f>U1396</f>
        <v>DMG2302UK, N-Chan, Sot23, 20Vds, 12Vgs, 90mΩ, 1Vgs th, 130pF Ciss, 10uA Idss/Igss, Built In Zeners, $0.05</v>
      </c>
    </row>
    <row r="1808" spans="2:35" x14ac:dyDescent="0.35">
      <c r="D1808" s="463"/>
      <c r="E1808" s="463"/>
      <c r="F1808" s="463" t="s">
        <v>9382</v>
      </c>
      <c r="G1808" s="916" t="s">
        <v>8775</v>
      </c>
      <c r="H1808" t="s">
        <v>4215</v>
      </c>
      <c r="J1808" t="s">
        <v>7962</v>
      </c>
      <c r="K1808" s="336">
        <v>0.04</v>
      </c>
      <c r="L1808" t="s">
        <v>6873</v>
      </c>
      <c r="M1808" t="s">
        <v>8754</v>
      </c>
      <c r="N1808" s="1" t="s">
        <v>4214</v>
      </c>
      <c r="O1808" t="s">
        <v>0</v>
      </c>
      <c r="P1808" s="162">
        <v>86705</v>
      </c>
      <c r="Q1808" s="295" t="s">
        <v>8705</v>
      </c>
      <c r="R1808" t="s">
        <v>8472</v>
      </c>
      <c r="X1808" t="str">
        <f>U1388</f>
        <v>BSS123L, N-Chan, Sot23, 100V, 6Ω, 3Vgs th fully on, $0.04</v>
      </c>
    </row>
    <row r="1809" spans="2:30" x14ac:dyDescent="0.35">
      <c r="D1809" s="463"/>
      <c r="E1809" s="463"/>
      <c r="F1809" s="463" t="s">
        <v>4531</v>
      </c>
      <c r="G1809" s="916" t="s">
        <v>8775</v>
      </c>
      <c r="H1809" t="s">
        <v>4531</v>
      </c>
      <c r="J1809" t="s">
        <v>7707</v>
      </c>
      <c r="K1809" s="315">
        <v>1.95</v>
      </c>
      <c r="L1809" t="s">
        <v>8757</v>
      </c>
      <c r="M1809" t="s">
        <v>8758</v>
      </c>
      <c r="N1809" s="1" t="s">
        <v>4530</v>
      </c>
      <c r="O1809" t="s">
        <v>0</v>
      </c>
      <c r="P1809" s="162">
        <v>86708</v>
      </c>
      <c r="Q1809" s="295" t="s">
        <v>8708</v>
      </c>
      <c r="R1809" t="s">
        <v>8475</v>
      </c>
      <c r="X1809" t="str">
        <f>U1407</f>
        <v>STB36N60M6, N-Chan, D2PAK, 600V, 30A, 100mΩ, 5Vgs, $1.95</v>
      </c>
    </row>
    <row r="1810" spans="2:30" x14ac:dyDescent="0.35">
      <c r="D1810" s="463"/>
      <c r="E1810" s="463"/>
      <c r="F1810" s="463"/>
      <c r="G1810" s="916"/>
      <c r="K1810" s="315"/>
      <c r="N1810" s="1"/>
      <c r="P1810" s="162"/>
      <c r="Q1810" s="295"/>
    </row>
    <row r="1811" spans="2:30" x14ac:dyDescent="0.35">
      <c r="C1811" s="187" t="s">
        <v>5626</v>
      </c>
      <c r="D1811" s="463" t="str">
        <f>H1811</f>
        <v>BSR92PH6327XTSA1</v>
      </c>
      <c r="E1811" s="463"/>
      <c r="F1811" s="463" t="s">
        <v>9371</v>
      </c>
      <c r="G1811" s="916" t="s">
        <v>8775</v>
      </c>
      <c r="H1811" t="s">
        <v>5566</v>
      </c>
      <c r="J1811" t="s">
        <v>3386</v>
      </c>
      <c r="K1811" s="336">
        <v>0.15</v>
      </c>
      <c r="L1811" t="s">
        <v>6873</v>
      </c>
      <c r="M1811" t="s">
        <v>8759</v>
      </c>
      <c r="N1811" s="169" t="s">
        <v>5563</v>
      </c>
      <c r="O1811" t="s">
        <v>0</v>
      </c>
      <c r="P1811" s="162">
        <v>86706</v>
      </c>
      <c r="Q1811" s="295" t="s">
        <v>8706</v>
      </c>
      <c r="R1811" t="s">
        <v>8473</v>
      </c>
      <c r="X1811" t="str">
        <f>U1403</f>
        <v>BSR92PH, P-Chan, Sot23, 250V, 20Ω, 3Vgs th fully on, $0.15</v>
      </c>
    </row>
    <row r="1812" spans="2:30" x14ac:dyDescent="0.35">
      <c r="D1812" s="463" t="str">
        <f>H1812</f>
        <v>BSS84PH6433XTMA1</v>
      </c>
      <c r="E1812" s="463"/>
      <c r="F1812" s="463" t="s">
        <v>9371</v>
      </c>
      <c r="G1812" s="916" t="s">
        <v>8775</v>
      </c>
      <c r="H1812" t="s">
        <v>5571</v>
      </c>
      <c r="J1812" t="s">
        <v>3386</v>
      </c>
      <c r="K1812" s="336">
        <v>0.04</v>
      </c>
      <c r="L1812" t="s">
        <v>6873</v>
      </c>
      <c r="M1812" t="s">
        <v>8759</v>
      </c>
      <c r="N1812" s="1" t="s">
        <v>5570</v>
      </c>
      <c r="O1812" t="s">
        <v>0</v>
      </c>
      <c r="P1812" s="162">
        <v>86707</v>
      </c>
      <c r="Q1812" s="295" t="s">
        <v>8707</v>
      </c>
      <c r="R1812" t="s">
        <v>8474</v>
      </c>
      <c r="X1812" t="str">
        <f>U1390</f>
        <v>BSS84PH, P-Chan, Sot23, 60V, 8Ω, 3.5Vgs th fully on, $0.04</v>
      </c>
    </row>
    <row r="1813" spans="2:30" x14ac:dyDescent="0.35">
      <c r="D1813" s="463"/>
      <c r="E1813" s="463"/>
      <c r="F1813" s="463"/>
      <c r="G1813" s="915"/>
    </row>
    <row r="1814" spans="2:30" x14ac:dyDescent="0.35">
      <c r="C1814" s="187" t="s">
        <v>8776</v>
      </c>
      <c r="D1814" s="463" t="str">
        <f>H1814</f>
        <v>DMC3400SDW</v>
      </c>
      <c r="E1814" s="463"/>
      <c r="F1814" s="463" t="s">
        <v>9371</v>
      </c>
      <c r="G1814" s="916" t="s">
        <v>8775</v>
      </c>
      <c r="H1814" t="s">
        <v>5974</v>
      </c>
      <c r="J1814" t="s">
        <v>7969</v>
      </c>
      <c r="K1814" s="9">
        <v>0.06</v>
      </c>
      <c r="L1814" t="s">
        <v>8656</v>
      </c>
      <c r="M1814" t="s">
        <v>8760</v>
      </c>
      <c r="N1814" s="1" t="s">
        <v>5973</v>
      </c>
      <c r="O1814" t="s">
        <v>0</v>
      </c>
      <c r="P1814" s="162">
        <v>86704</v>
      </c>
      <c r="Q1814" s="295" t="s">
        <v>8704</v>
      </c>
      <c r="R1814" t="s">
        <v>8471</v>
      </c>
      <c r="X1814" t="str">
        <f>U1399</f>
        <v>DMC3400SDW, N-P Array, Sot363, 30Vds, 20Vgs, 400mΩ, 3Vgs th, 50pF Ciss, 10uA Idss/Igss, $0.06</v>
      </c>
    </row>
    <row r="1815" spans="2:30" x14ac:dyDescent="0.35">
      <c r="D1815" s="463"/>
      <c r="E1815" s="463"/>
      <c r="F1815" s="463"/>
      <c r="G1815" s="915"/>
      <c r="K1815" s="336"/>
      <c r="N1815" s="1"/>
      <c r="P1815" s="162"/>
      <c r="Q1815" s="295" t="str">
        <f>CONCATENATE("Ma2-",TEXT(P1815,"##,###"))</f>
        <v>Ma2-</v>
      </c>
    </row>
    <row r="1816" spans="2:30" x14ac:dyDescent="0.35">
      <c r="B1816" s="83" t="s">
        <v>7964</v>
      </c>
      <c r="C1816" s="187" t="s">
        <v>7965</v>
      </c>
      <c r="D1816" s="463"/>
      <c r="E1816" s="463"/>
      <c r="F1816" s="463" t="s">
        <v>9383</v>
      </c>
      <c r="G1816" s="916" t="s">
        <v>8775</v>
      </c>
      <c r="H1816" t="s">
        <v>4808</v>
      </c>
      <c r="J1816" t="s">
        <v>7969</v>
      </c>
      <c r="K1816" s="336">
        <v>0.04</v>
      </c>
      <c r="L1816" t="s">
        <v>8656</v>
      </c>
      <c r="M1816" t="s">
        <v>8761</v>
      </c>
      <c r="N1816" s="1" t="s">
        <v>4807</v>
      </c>
      <c r="O1816" t="s">
        <v>0</v>
      </c>
      <c r="P1816" s="162">
        <v>86721</v>
      </c>
      <c r="Q1816" s="295" t="s">
        <v>8709</v>
      </c>
      <c r="R1816" t="s">
        <v>8799</v>
      </c>
      <c r="X1816" t="str">
        <f>N1487</f>
        <v>BC847BS, 2x NPN, SOT363, 50V, hFE=200, $0.04</v>
      </c>
    </row>
    <row r="1817" spans="2:30" x14ac:dyDescent="0.35">
      <c r="D1817" s="463" t="str">
        <f>H1817</f>
        <v>MMBTA92-TP (3k qty is $0.035 at digi, 10k qty is $0.03)</v>
      </c>
      <c r="E1817" s="463"/>
      <c r="F1817" s="463" t="s">
        <v>9371</v>
      </c>
      <c r="G1817" s="916" t="s">
        <v>8775</v>
      </c>
      <c r="H1817" t="s">
        <v>8800</v>
      </c>
      <c r="J1817" t="s">
        <v>8797</v>
      </c>
      <c r="K1817" s="336">
        <v>0.03</v>
      </c>
      <c r="L1817" t="s">
        <v>6873</v>
      </c>
      <c r="M1817" t="s">
        <v>8801</v>
      </c>
      <c r="N1817" s="1" t="s">
        <v>4768</v>
      </c>
      <c r="O1817" t="s">
        <v>0</v>
      </c>
      <c r="P1817" s="162">
        <v>86722</v>
      </c>
      <c r="Q1817" s="295" t="s">
        <v>8796</v>
      </c>
      <c r="R1817" t="s">
        <v>8798</v>
      </c>
      <c r="X1817" t="str">
        <f>N1488</f>
        <v>MMBTA92, PNP, SOT23, 300V, 300mA, hFE=100, $0.03</v>
      </c>
    </row>
    <row r="1818" spans="2:30" x14ac:dyDescent="0.35">
      <c r="D1818" s="463"/>
      <c r="E1818" s="463"/>
      <c r="F1818" s="463"/>
      <c r="G1818" s="915"/>
      <c r="K1818" s="336"/>
      <c r="N1818" s="1"/>
      <c r="P1818" s="162"/>
    </row>
    <row r="1819" spans="2:30" x14ac:dyDescent="0.35">
      <c r="B1819" s="83" t="s">
        <v>2550</v>
      </c>
      <c r="C1819" s="187" t="s">
        <v>7708</v>
      </c>
      <c r="D1819" s="463"/>
      <c r="E1819" s="463"/>
      <c r="F1819" s="463" t="s">
        <v>4042</v>
      </c>
      <c r="G1819" s="916" t="s">
        <v>8775</v>
      </c>
      <c r="H1819" t="s">
        <v>4042</v>
      </c>
      <c r="J1819" t="s">
        <v>7712</v>
      </c>
      <c r="K1819" s="185">
        <v>0.08</v>
      </c>
      <c r="L1819" t="s">
        <v>8770</v>
      </c>
      <c r="M1819" t="s">
        <v>8764</v>
      </c>
      <c r="N1819" s="1" t="s">
        <v>4041</v>
      </c>
      <c r="O1819" t="s">
        <v>0</v>
      </c>
      <c r="P1819" s="162">
        <v>28111</v>
      </c>
      <c r="Q1819" s="295" t="s">
        <v>8710</v>
      </c>
      <c r="R1819" t="s">
        <v>8133</v>
      </c>
      <c r="X1819" t="str">
        <f>T1193</f>
        <v>PMEG10010, 100V, 0.8V@1A, 4nS, 70pF, SOD123Wide, $0.08</v>
      </c>
    </row>
    <row r="1820" spans="2:30" x14ac:dyDescent="0.35">
      <c r="C1820" s="187"/>
      <c r="D1820" s="463" t="str">
        <f>H1820</f>
        <v>PMEG3005EGWJ</v>
      </c>
      <c r="E1820" s="463"/>
      <c r="F1820" s="463" t="s">
        <v>9371</v>
      </c>
      <c r="G1820" s="916" t="s">
        <v>8775</v>
      </c>
      <c r="H1820" t="s">
        <v>5090</v>
      </c>
      <c r="J1820" t="s">
        <v>7712</v>
      </c>
      <c r="K1820" s="185">
        <v>0.03</v>
      </c>
      <c r="L1820" t="s">
        <v>8763</v>
      </c>
      <c r="M1820" t="s">
        <v>8764</v>
      </c>
      <c r="N1820" s="1" t="s">
        <v>5089</v>
      </c>
      <c r="O1820" t="s">
        <v>0</v>
      </c>
      <c r="P1820" s="162">
        <v>28112</v>
      </c>
      <c r="Q1820" s="295" t="s">
        <v>8711</v>
      </c>
      <c r="R1820" t="s">
        <v>8136</v>
      </c>
      <c r="X1820" t="str">
        <f>T1194</f>
        <v>PMEG3005, 30V, 0.4V@.5A, Slow, 70pF, SOD123, $0.03</v>
      </c>
      <c r="AD1820" t="s">
        <v>8137</v>
      </c>
    </row>
    <row r="1821" spans="2:30" x14ac:dyDescent="0.35">
      <c r="C1821" s="187"/>
      <c r="D1821" s="463"/>
      <c r="E1821" s="463"/>
      <c r="F1821" s="463"/>
      <c r="G1821" s="915"/>
      <c r="K1821" s="100"/>
      <c r="P1821" s="162"/>
    </row>
    <row r="1822" spans="2:30" x14ac:dyDescent="0.35">
      <c r="C1822" s="187" t="s">
        <v>7709</v>
      </c>
      <c r="D1822" s="463" t="str">
        <f>H1822</f>
        <v>BAT54S,235 (10k reel, Nexperia, 2x diodes in series, SOT-23-3)                     -- careful since BAT54S is very different from BAT54W or BAT54C</v>
      </c>
      <c r="E1822" s="463"/>
      <c r="F1822" s="463" t="s">
        <v>9371</v>
      </c>
      <c r="G1822" s="916" t="s">
        <v>8775</v>
      </c>
      <c r="H1822" t="s">
        <v>9007</v>
      </c>
      <c r="J1822" t="s">
        <v>7712</v>
      </c>
      <c r="K1822" s="100">
        <v>0.02</v>
      </c>
      <c r="L1822" t="s">
        <v>6873</v>
      </c>
      <c r="M1822" t="s">
        <v>8768</v>
      </c>
      <c r="N1822" s="1" t="s">
        <v>6599</v>
      </c>
      <c r="O1822" t="s">
        <v>0</v>
      </c>
      <c r="P1822" s="162">
        <v>28211</v>
      </c>
      <c r="Q1822" s="295" t="s">
        <v>8712</v>
      </c>
      <c r="R1822" t="s">
        <v>9006</v>
      </c>
      <c r="X1822" t="str">
        <f>T1225</f>
        <v>BAT54S, 2x Series Array, Schottky, $0.02, SOT23-3, 30V, 10pF, 5nS, 2uA max 25V/25C, 35uA typ 10V/85°C, 0.4Vf max 10mA/25°C,  0.15Vf typ 1mA/85°C</v>
      </c>
    </row>
    <row r="1823" spans="2:30" x14ac:dyDescent="0.35">
      <c r="C1823" s="187"/>
      <c r="D1823" s="463"/>
      <c r="E1823" s="463"/>
      <c r="F1823" s="463"/>
      <c r="G1823" s="915"/>
      <c r="K1823" s="100"/>
      <c r="N1823" s="1"/>
      <c r="P1823" s="162"/>
    </row>
    <row r="1824" spans="2:30" x14ac:dyDescent="0.35">
      <c r="C1824" s="187" t="s">
        <v>7710</v>
      </c>
      <c r="D1824" s="463"/>
      <c r="E1824" s="463"/>
      <c r="F1824" s="463" t="s">
        <v>9384</v>
      </c>
      <c r="G1824" s="916" t="s">
        <v>8775</v>
      </c>
      <c r="H1824" t="s">
        <v>8108</v>
      </c>
      <c r="J1824" t="s">
        <v>7962</v>
      </c>
      <c r="K1824" s="100">
        <v>0.02</v>
      </c>
      <c r="L1824" t="s">
        <v>6873</v>
      </c>
      <c r="M1824" t="s">
        <v>8765</v>
      </c>
      <c r="N1824" s="1" t="s">
        <v>5499</v>
      </c>
      <c r="O1824" t="s">
        <v>0</v>
      </c>
      <c r="P1824" s="162">
        <v>28311</v>
      </c>
      <c r="Q1824" s="295" t="s">
        <v>8713</v>
      </c>
      <c r="R1824" t="s">
        <v>8109</v>
      </c>
      <c r="X1824" t="str">
        <f>T1214</f>
        <v>BAS21LT, $0.02, 1x, sot23, 200V, 5pF, 50nS, 0.2uA/100V/85C</v>
      </c>
    </row>
    <row r="1825" spans="2:24" x14ac:dyDescent="0.35">
      <c r="D1825" s="463"/>
      <c r="E1825" s="463"/>
      <c r="F1825" s="463"/>
    </row>
    <row r="1826" spans="2:24" x14ac:dyDescent="0.35">
      <c r="C1826" s="187"/>
      <c r="D1826" s="463"/>
      <c r="E1826" s="463"/>
      <c r="F1826" s="463"/>
      <c r="G1826" s="915"/>
      <c r="K1826" s="100"/>
      <c r="P1826" s="162"/>
    </row>
    <row r="1827" spans="2:24" x14ac:dyDescent="0.35">
      <c r="C1827" s="187" t="s">
        <v>7711</v>
      </c>
      <c r="D1827" s="463" t="str">
        <f>H1827</f>
        <v>BAV99,235 (10k reel, Nexperia, SOT-23-3, not 99S, not 99W),             BAV99,215 (3k reel nexperia)</v>
      </c>
      <c r="E1827" s="463"/>
      <c r="F1827" s="463" t="s">
        <v>9371</v>
      </c>
      <c r="G1827" s="916" t="s">
        <v>8775</v>
      </c>
      <c r="H1827" t="s">
        <v>8766</v>
      </c>
      <c r="J1827" t="s">
        <v>7712</v>
      </c>
      <c r="K1827" s="100">
        <v>1.4E-2</v>
      </c>
      <c r="L1827" t="s">
        <v>6873</v>
      </c>
      <c r="M1827" t="s">
        <v>8767</v>
      </c>
      <c r="N1827" s="1" t="s">
        <v>7978</v>
      </c>
      <c r="O1827" t="s">
        <v>0</v>
      </c>
      <c r="P1827" s="162">
        <v>28411</v>
      </c>
      <c r="Q1827" s="295" t="s">
        <v>8714</v>
      </c>
      <c r="R1827" t="s">
        <v>8038</v>
      </c>
      <c r="X1827" t="str">
        <f>T1222</f>
        <v>BAV99, 2x Series Array, $0.013, SOT23-3, 100V, 1.5pF, 4nS, 30nA max 25V/25°C, 500nA max 80Vr/25°C, 30uA max 25Vr/150°C, 0.7Vf max 1mA/25°C, 1Vf max 50mA/25°C</v>
      </c>
    </row>
    <row r="1828" spans="2:24" x14ac:dyDescent="0.35">
      <c r="C1828" s="187"/>
      <c r="D1828" s="463"/>
      <c r="E1828" s="463"/>
      <c r="F1828" s="463" t="s">
        <v>9385</v>
      </c>
      <c r="G1828" s="916" t="s">
        <v>8775</v>
      </c>
      <c r="H1828" t="s">
        <v>4197</v>
      </c>
      <c r="J1828" t="s">
        <v>7969</v>
      </c>
      <c r="K1828" s="100">
        <v>4.7E-2</v>
      </c>
      <c r="L1828" t="s">
        <v>8656</v>
      </c>
      <c r="M1828" s="2" t="s">
        <v>8769</v>
      </c>
      <c r="N1828" s="1" t="s">
        <v>4198</v>
      </c>
      <c r="O1828" t="s">
        <v>0</v>
      </c>
      <c r="P1828" s="162">
        <v>28412</v>
      </c>
      <c r="Q1828" s="295" t="s">
        <v>8715</v>
      </c>
      <c r="R1828" t="s">
        <v>8037</v>
      </c>
      <c r="X1828" t="str">
        <f>T1208</f>
        <v>BAS16H, 3x Array, 100V, 4pF, 6nS, 0.3uA/50V/85C typ, sot363, $0.05</v>
      </c>
    </row>
    <row r="1829" spans="2:24" x14ac:dyDescent="0.35">
      <c r="C1829" s="187"/>
      <c r="D1829" s="463" t="str">
        <f>H1829</f>
        <v>BAV199-7-F (Diodes Inc, 3k reel, 2x series diodes, 75V, SOT-23-3),           BAV199LT1G (OnSemi, 3k reel)                  BAV199,235 (Nexperia, 10K reel)</v>
      </c>
      <c r="E1829" s="463"/>
      <c r="F1829" s="463" t="s">
        <v>9371</v>
      </c>
      <c r="G1829" s="916" t="s">
        <v>8775</v>
      </c>
      <c r="H1829" t="s">
        <v>9003</v>
      </c>
      <c r="J1829" t="s">
        <v>7712</v>
      </c>
      <c r="K1829" s="100">
        <v>2.8000000000000001E-2</v>
      </c>
      <c r="L1829" t="s">
        <v>6873</v>
      </c>
      <c r="M1829" t="s">
        <v>8765</v>
      </c>
      <c r="N1829" s="1" t="s">
        <v>8999</v>
      </c>
      <c r="O1829" t="s">
        <v>0</v>
      </c>
      <c r="P1829" s="162">
        <v>28499</v>
      </c>
      <c r="Q1829" s="295" t="s">
        <v>9004</v>
      </c>
      <c r="R1829" t="s">
        <v>9005</v>
      </c>
      <c r="X1829" t="str">
        <f>T1218</f>
        <v>BAS116, $0.026, sot23, 75V, 2pF, 3000nS, 5nA/75V/25C, 80nA/150C mx</v>
      </c>
    </row>
    <row r="1830" spans="2:24" x14ac:dyDescent="0.35">
      <c r="C1830" s="187"/>
      <c r="D1830" s="463"/>
      <c r="E1830" s="463"/>
      <c r="F1830" s="463"/>
      <c r="G1830" s="915"/>
      <c r="K1830" s="100"/>
      <c r="P1830" s="162"/>
    </row>
    <row r="1831" spans="2:24" x14ac:dyDescent="0.35">
      <c r="C1831" s="187" t="s">
        <v>8114</v>
      </c>
      <c r="D1831" s="463" t="str">
        <f>H1831</f>
        <v>SZBZX84C3V6LT3G (10K reel, OnSemi, 5% C),     BZX84-C3V6,235 (10K reel, Nexperia, 5%)</v>
      </c>
      <c r="E1831" s="463"/>
      <c r="F1831" s="463" t="s">
        <v>9371</v>
      </c>
      <c r="G1831" s="916" t="s">
        <v>8775</v>
      </c>
      <c r="H1831" t="s">
        <v>8119</v>
      </c>
      <c r="J1831" t="s">
        <v>7962</v>
      </c>
      <c r="K1831" s="100">
        <v>0.02</v>
      </c>
      <c r="L1831" t="s">
        <v>6873</v>
      </c>
      <c r="M1831" t="s">
        <v>8762</v>
      </c>
      <c r="N1831" s="1" t="s">
        <v>7963</v>
      </c>
      <c r="O1831" t="s">
        <v>0</v>
      </c>
      <c r="P1831" s="162">
        <v>28536</v>
      </c>
      <c r="Q1831" s="295" t="s">
        <v>8716</v>
      </c>
      <c r="R1831" t="s">
        <v>8116</v>
      </c>
      <c r="X1831" t="s">
        <v>8091</v>
      </c>
    </row>
    <row r="1832" spans="2:24" x14ac:dyDescent="0.35">
      <c r="C1832" s="187"/>
      <c r="D1832" s="463" t="str">
        <f>H1832</f>
        <v>BZX84-C13,235 (10k reel, Nexperia, 5% C),       ZX84-C13,215 (3k reel, nexperia, $0.023)</v>
      </c>
      <c r="E1832" s="463"/>
      <c r="F1832" s="463" t="s">
        <v>9371</v>
      </c>
      <c r="G1832" s="916" t="s">
        <v>8775</v>
      </c>
      <c r="H1832" t="s">
        <v>8122</v>
      </c>
      <c r="J1832" t="s">
        <v>7712</v>
      </c>
      <c r="K1832" s="100">
        <v>1.7000000000000001E-2</v>
      </c>
      <c r="L1832" t="s">
        <v>6873</v>
      </c>
      <c r="M1832" t="s">
        <v>8762</v>
      </c>
      <c r="N1832" s="1"/>
      <c r="O1832" t="s">
        <v>0</v>
      </c>
      <c r="P1832" s="162">
        <v>28613</v>
      </c>
      <c r="Q1832" s="295" t="s">
        <v>8717</v>
      </c>
      <c r="R1832" t="s">
        <v>8117</v>
      </c>
      <c r="X1832" t="str">
        <f>P1231</f>
        <v>BZX84C13LT1G, 13Vz, 5% C, 100pF, .2W, Sot23, OFF 8V@100nA/25C, ON 14.2V@20mA/25C, $0.02</v>
      </c>
    </row>
    <row r="1833" spans="2:24" x14ac:dyDescent="0.35">
      <c r="C1833" s="187"/>
      <c r="D1833" s="989" t="s">
        <v>9523</v>
      </c>
      <c r="E1833" s="463"/>
      <c r="F1833" s="463" t="s">
        <v>9371</v>
      </c>
      <c r="G1833" s="916" t="s">
        <v>8775</v>
      </c>
      <c r="H1833" t="s">
        <v>9519</v>
      </c>
      <c r="K1833" s="100">
        <v>1.7000000000000001E-2</v>
      </c>
      <c r="L1833" t="s">
        <v>6873</v>
      </c>
      <c r="M1833" t="s">
        <v>8762</v>
      </c>
      <c r="N1833" s="1" t="s">
        <v>9520</v>
      </c>
      <c r="O1833" t="s">
        <v>0</v>
      </c>
      <c r="P1833" s="162">
        <v>28615</v>
      </c>
      <c r="Q1833" s="295" t="s">
        <v>9521</v>
      </c>
      <c r="R1833" t="s">
        <v>9522</v>
      </c>
    </row>
    <row r="1834" spans="2:24" x14ac:dyDescent="0.35">
      <c r="C1834" s="187"/>
      <c r="D1834" s="463" t="str">
        <f>H1834</f>
        <v>BZX84-C30,235 (10k reel, nexperia, 5% C, $0.017),       ZX84-C30,215 (3k reel, nexperia, $0.023)</v>
      </c>
      <c r="E1834" s="463"/>
      <c r="F1834" s="463" t="s">
        <v>9371</v>
      </c>
      <c r="G1834" s="916" t="s">
        <v>8775</v>
      </c>
      <c r="H1834" t="s">
        <v>8121</v>
      </c>
      <c r="K1834" s="100">
        <v>1.7000000000000001E-2</v>
      </c>
      <c r="L1834" t="s">
        <v>6873</v>
      </c>
      <c r="M1834" t="s">
        <v>8762</v>
      </c>
      <c r="N1834" s="1" t="s">
        <v>8112</v>
      </c>
      <c r="O1834" t="s">
        <v>0</v>
      </c>
      <c r="P1834" s="162">
        <v>28630</v>
      </c>
      <c r="Q1834" s="295" t="s">
        <v>8718</v>
      </c>
      <c r="R1834" t="s">
        <v>8118</v>
      </c>
      <c r="X1834" t="str">
        <f>P1234</f>
        <v>BZX84C30, 30Vz, 5% C, 100pF, .2W, Sot23, OFF 21V@50nA/25C, ON 32.4V@20mA/25C, $0.02</v>
      </c>
    </row>
    <row r="1835" spans="2:24" x14ac:dyDescent="0.35">
      <c r="C1835" s="187"/>
      <c r="D1835" s="463"/>
      <c r="E1835" s="463"/>
      <c r="F1835" s="463"/>
      <c r="G1835" s="915"/>
      <c r="K1835" s="100"/>
      <c r="N1835" s="1"/>
      <c r="P1835" s="162"/>
    </row>
    <row r="1836" spans="2:24" x14ac:dyDescent="0.35">
      <c r="C1836" s="187" t="s">
        <v>8113</v>
      </c>
      <c r="D1836" s="463" t="str">
        <f>H1836</f>
        <v>BZX84-B43-215 (3k reel, nexperia, 2% B, $0.03)</v>
      </c>
      <c r="E1836" s="463"/>
      <c r="F1836" s="463" t="s">
        <v>9371</v>
      </c>
      <c r="G1836" s="916" t="s">
        <v>8775</v>
      </c>
      <c r="H1836" t="s">
        <v>8120</v>
      </c>
      <c r="K1836" s="100">
        <v>0.03</v>
      </c>
      <c r="L1836" t="s">
        <v>6873</v>
      </c>
      <c r="M1836" t="s">
        <v>8762</v>
      </c>
      <c r="N1836" s="1" t="s">
        <v>6321</v>
      </c>
      <c r="O1836" t="s">
        <v>0</v>
      </c>
      <c r="P1836" s="162">
        <v>28743</v>
      </c>
      <c r="Q1836" s="295" t="s">
        <v>8719</v>
      </c>
      <c r="R1836" t="s">
        <v>8115</v>
      </c>
      <c r="X1836" t="str">
        <f>P1235</f>
        <v>BZX84B43, 43Vz, 2% B, 35pF, .2W, Sot23, OFF 30V@50nA/25C, ON 44V@2mA/25C, $0.03</v>
      </c>
    </row>
    <row r="1837" spans="2:24" x14ac:dyDescent="0.35">
      <c r="C1837" s="187"/>
      <c r="D1837" s="463"/>
      <c r="E1837" s="463"/>
      <c r="F1837" s="463"/>
      <c r="G1837" s="915"/>
      <c r="K1837" s="100"/>
      <c r="N1837" s="1"/>
      <c r="P1837" s="162"/>
      <c r="Q1837" s="295" t="str">
        <f>CONCATENATE("Ma2-",TEXT(P1837,"##,###"))</f>
        <v>Ma2-</v>
      </c>
    </row>
    <row r="1838" spans="2:24" x14ac:dyDescent="0.35">
      <c r="B1838" s="83" t="s">
        <v>7751</v>
      </c>
      <c r="C1838" s="187" t="s">
        <v>7849</v>
      </c>
      <c r="D1838" s="463"/>
      <c r="E1838" s="463" t="s">
        <v>9395</v>
      </c>
      <c r="F1838" s="463" t="s">
        <v>9371</v>
      </c>
      <c r="G1838" s="916" t="s">
        <v>8775</v>
      </c>
      <c r="H1838" s="295" t="s">
        <v>8985</v>
      </c>
      <c r="J1838" t="s">
        <v>8362</v>
      </c>
      <c r="K1838" s="100">
        <v>1.0999999999999999E-2</v>
      </c>
      <c r="L1838" s="73" t="str">
        <f>"0603"</f>
        <v>0603</v>
      </c>
      <c r="N1838" s="1" t="s">
        <v>7779</v>
      </c>
      <c r="O1838" t="s">
        <v>0</v>
      </c>
      <c r="P1838" s="162">
        <v>12103</v>
      </c>
      <c r="Q1838" s="295" t="s">
        <v>8639</v>
      </c>
      <c r="R1838" t="s">
        <v>7928</v>
      </c>
    </row>
    <row r="1839" spans="2:24" x14ac:dyDescent="0.35">
      <c r="C1839" s="187"/>
      <c r="D1839" s="463"/>
      <c r="E1839" s="463" t="s">
        <v>9395</v>
      </c>
      <c r="F1839" s="463" t="s">
        <v>9371</v>
      </c>
      <c r="G1839" s="916" t="s">
        <v>8775</v>
      </c>
      <c r="H1839" s="295" t="s">
        <v>8987</v>
      </c>
      <c r="J1839" t="s">
        <v>7788</v>
      </c>
      <c r="K1839" s="100">
        <v>7.0000000000000001E-3</v>
      </c>
      <c r="L1839" s="73" t="str">
        <f>"0603"</f>
        <v>0603</v>
      </c>
      <c r="N1839" s="1" t="s">
        <v>8986</v>
      </c>
      <c r="O1839" t="s">
        <v>0</v>
      </c>
      <c r="P1839" s="162">
        <v>12210</v>
      </c>
      <c r="Q1839" s="295" t="s">
        <v>8983</v>
      </c>
      <c r="R1839" t="s">
        <v>8984</v>
      </c>
    </row>
    <row r="1840" spans="2:24" x14ac:dyDescent="0.35">
      <c r="C1840" s="187"/>
      <c r="D1840" s="989" t="s">
        <v>9523</v>
      </c>
      <c r="E1840" s="463" t="s">
        <v>9395</v>
      </c>
      <c r="F1840" s="463" t="s">
        <v>9371</v>
      </c>
      <c r="G1840" s="916" t="s">
        <v>8775</v>
      </c>
      <c r="H1840" s="314" t="s">
        <v>9559</v>
      </c>
      <c r="J1840" t="s">
        <v>7788</v>
      </c>
      <c r="K1840" s="100">
        <v>7.0000000000000001E-3</v>
      </c>
      <c r="L1840" s="73" t="str">
        <f>"0603"</f>
        <v>0603</v>
      </c>
      <c r="N1840" s="1" t="s">
        <v>9560</v>
      </c>
      <c r="O1840" t="s">
        <v>0</v>
      </c>
      <c r="P1840" s="162">
        <v>12215</v>
      </c>
      <c r="Q1840" s="295" t="s">
        <v>9557</v>
      </c>
      <c r="R1840" t="s">
        <v>9558</v>
      </c>
    </row>
    <row r="1841" spans="3:27" x14ac:dyDescent="0.35">
      <c r="D1841" s="463"/>
      <c r="E1841" s="463"/>
      <c r="F1841" s="463"/>
      <c r="G1841" s="915"/>
      <c r="H1841" s="295"/>
      <c r="K1841" s="185"/>
      <c r="O1841" t="s">
        <v>0</v>
      </c>
      <c r="P1841" s="162"/>
    </row>
    <row r="1842" spans="3:27" x14ac:dyDescent="0.35">
      <c r="C1842" s="187" t="s">
        <v>7848</v>
      </c>
      <c r="D1842" s="463"/>
      <c r="E1842" s="463" t="s">
        <v>9396</v>
      </c>
      <c r="F1842" s="463" t="s">
        <v>9371</v>
      </c>
      <c r="G1842" s="916" t="s">
        <v>8775</v>
      </c>
      <c r="H1842" s="295" t="s">
        <v>7845</v>
      </c>
      <c r="J1842" t="s">
        <v>7841</v>
      </c>
      <c r="K1842" s="100">
        <v>1.0999999999999999E-2</v>
      </c>
      <c r="L1842" s="73" t="str">
        <f>"0603"</f>
        <v>0603</v>
      </c>
      <c r="N1842" s="1" t="s">
        <v>7844</v>
      </c>
      <c r="O1842" t="s">
        <v>0</v>
      </c>
      <c r="P1842" s="162">
        <v>12247</v>
      </c>
      <c r="Q1842" s="295" t="s">
        <v>8618</v>
      </c>
      <c r="R1842" t="s">
        <v>7929</v>
      </c>
    </row>
    <row r="1843" spans="3:27" x14ac:dyDescent="0.35">
      <c r="C1843" s="187"/>
      <c r="D1843" s="463"/>
      <c r="E1843" s="463" t="s">
        <v>9396</v>
      </c>
      <c r="F1843" s="463" t="s">
        <v>9371</v>
      </c>
      <c r="G1843" s="916" t="s">
        <v>8775</v>
      </c>
      <c r="H1843" s="295" t="s">
        <v>7846</v>
      </c>
      <c r="J1843" t="s">
        <v>7841</v>
      </c>
      <c r="K1843" s="100">
        <v>0.01</v>
      </c>
      <c r="L1843" s="73" t="str">
        <f>"0603"</f>
        <v>0603</v>
      </c>
      <c r="N1843" s="1" t="s">
        <v>7847</v>
      </c>
      <c r="O1843" t="s">
        <v>0</v>
      </c>
      <c r="P1843" s="162">
        <v>12310</v>
      </c>
      <c r="Q1843" s="295" t="s">
        <v>8619</v>
      </c>
      <c r="R1843" t="s">
        <v>7930</v>
      </c>
    </row>
    <row r="1844" spans="3:27" x14ac:dyDescent="0.35">
      <c r="C1844" s="187"/>
      <c r="D1844" s="463"/>
      <c r="E1844" s="463"/>
      <c r="F1844" s="463"/>
      <c r="G1844" s="915"/>
      <c r="H1844" s="295"/>
      <c r="K1844" s="100"/>
      <c r="L1844" s="73"/>
      <c r="N1844" s="1"/>
      <c r="P1844" s="162"/>
    </row>
    <row r="1845" spans="3:27" x14ac:dyDescent="0.35">
      <c r="C1845" s="187" t="s">
        <v>7850</v>
      </c>
      <c r="D1845" s="463"/>
      <c r="E1845" s="463" t="s">
        <v>9396</v>
      </c>
      <c r="F1845" s="463" t="s">
        <v>9371</v>
      </c>
      <c r="G1845" s="916" t="s">
        <v>8775</v>
      </c>
      <c r="H1845" s="295" t="s">
        <v>8067</v>
      </c>
      <c r="J1845" t="s">
        <v>7788</v>
      </c>
      <c r="K1845" s="100">
        <v>5.0000000000000001E-3</v>
      </c>
      <c r="L1845" s="73" t="str">
        <f>"0603"</f>
        <v>0603</v>
      </c>
      <c r="N1845" s="1" t="s">
        <v>8064</v>
      </c>
      <c r="O1845" t="s">
        <v>0</v>
      </c>
      <c r="P1845" s="162">
        <v>13410</v>
      </c>
      <c r="Q1845" s="295" t="s">
        <v>8620</v>
      </c>
      <c r="R1845" t="s">
        <v>8065</v>
      </c>
      <c r="X1845" t="s">
        <v>8066</v>
      </c>
    </row>
    <row r="1846" spans="3:27" x14ac:dyDescent="0.35">
      <c r="C1846" s="187"/>
      <c r="D1846" s="463"/>
      <c r="E1846" s="463"/>
      <c r="F1846" s="463"/>
      <c r="G1846" s="915"/>
      <c r="H1846" s="885" t="s">
        <v>8069</v>
      </c>
      <c r="I1846" s="345"/>
      <c r="J1846" s="345" t="s">
        <v>7788</v>
      </c>
      <c r="K1846" s="888">
        <v>5.0000000000000001E-3</v>
      </c>
      <c r="L1846" s="341" t="str">
        <f>"0603"</f>
        <v>0603</v>
      </c>
      <c r="N1846" s="886" t="s">
        <v>8068</v>
      </c>
      <c r="O1846" s="345" t="s">
        <v>0</v>
      </c>
      <c r="P1846" s="162"/>
      <c r="R1846" s="345" t="s">
        <v>8070</v>
      </c>
      <c r="S1846" s="345"/>
      <c r="T1846" s="345"/>
      <c r="U1846" s="345"/>
      <c r="V1846" s="345"/>
      <c r="W1846" s="345"/>
      <c r="X1846" s="345" t="s">
        <v>8071</v>
      </c>
      <c r="Y1846" s="345"/>
      <c r="Z1846" s="345"/>
      <c r="AA1846" s="345"/>
    </row>
    <row r="1847" spans="3:27" x14ac:dyDescent="0.35">
      <c r="C1847" s="187"/>
      <c r="D1847" s="463"/>
      <c r="E1847" s="463" t="s">
        <v>9396</v>
      </c>
      <c r="F1847" s="463" t="s">
        <v>9371</v>
      </c>
      <c r="G1847" s="916" t="s">
        <v>8775</v>
      </c>
      <c r="H1847" s="295" t="s">
        <v>7782</v>
      </c>
      <c r="J1847" t="s">
        <v>7788</v>
      </c>
      <c r="K1847" s="100">
        <v>5.0000000000000001E-3</v>
      </c>
      <c r="L1847" s="73" t="str">
        <f>"0603"</f>
        <v>0603</v>
      </c>
      <c r="N1847" s="1" t="s">
        <v>7775</v>
      </c>
      <c r="O1847" t="s">
        <v>0</v>
      </c>
      <c r="P1847" s="162">
        <v>13510</v>
      </c>
      <c r="Q1847" s="295" t="s">
        <v>8621</v>
      </c>
      <c r="R1847" t="s">
        <v>7920</v>
      </c>
      <c r="X1847" t="s">
        <v>7942</v>
      </c>
    </row>
    <row r="1848" spans="3:27" x14ac:dyDescent="0.35">
      <c r="C1848" s="187"/>
      <c r="D1848" s="463"/>
      <c r="E1848" s="463"/>
      <c r="F1848" s="463"/>
      <c r="G1848" s="915"/>
      <c r="H1848" s="295"/>
      <c r="K1848" s="9"/>
      <c r="O1848" t="s">
        <v>0</v>
      </c>
      <c r="P1848" s="162"/>
    </row>
    <row r="1849" spans="3:27" x14ac:dyDescent="0.35">
      <c r="C1849" s="187" t="s">
        <v>8092</v>
      </c>
      <c r="D1849" s="463"/>
      <c r="E1849" s="463" t="s">
        <v>9396</v>
      </c>
      <c r="F1849" s="463" t="s">
        <v>9371</v>
      </c>
      <c r="G1849" s="916" t="s">
        <v>8775</v>
      </c>
      <c r="H1849" s="295" t="s">
        <v>7839</v>
      </c>
      <c r="J1849" t="s">
        <v>7841</v>
      </c>
      <c r="K1849" s="100">
        <v>1.0999999999999999E-2</v>
      </c>
      <c r="L1849" s="73" t="str">
        <f>"0603"</f>
        <v>0603</v>
      </c>
      <c r="N1849" s="1" t="s">
        <v>7838</v>
      </c>
      <c r="O1849" t="s">
        <v>0</v>
      </c>
      <c r="P1849" s="162">
        <v>14422</v>
      </c>
      <c r="Q1849" s="295" t="s">
        <v>8622</v>
      </c>
      <c r="R1849" t="s">
        <v>8093</v>
      </c>
      <c r="X1849" t="s">
        <v>8095</v>
      </c>
    </row>
    <row r="1850" spans="3:27" x14ac:dyDescent="0.35">
      <c r="C1850" s="187"/>
      <c r="D1850" s="463"/>
      <c r="E1850" s="463" t="s">
        <v>9395</v>
      </c>
      <c r="F1850" s="463" t="s">
        <v>9371</v>
      </c>
      <c r="G1850" s="916" t="s">
        <v>8775</v>
      </c>
      <c r="H1850" s="295" t="s">
        <v>7931</v>
      </c>
      <c r="J1850" t="s">
        <v>7841</v>
      </c>
      <c r="K1850" s="100">
        <v>0.04</v>
      </c>
      <c r="L1850" s="318">
        <v>1206</v>
      </c>
      <c r="N1850" s="1" t="s">
        <v>7905</v>
      </c>
      <c r="O1850" t="s">
        <v>0</v>
      </c>
      <c r="P1850" s="162">
        <v>14647</v>
      </c>
      <c r="Q1850" s="295" t="s">
        <v>8623</v>
      </c>
      <c r="R1850" t="s">
        <v>8094</v>
      </c>
      <c r="X1850" t="str">
        <f>N1319</f>
        <v>Cap: 0.47uF, 100V, 10%, 1206, 125C, $0.04</v>
      </c>
    </row>
    <row r="1851" spans="3:27" x14ac:dyDescent="0.35">
      <c r="D1851" s="463"/>
      <c r="E1851" s="463"/>
      <c r="F1851" s="463"/>
      <c r="G1851" s="915"/>
      <c r="K1851" s="185"/>
      <c r="O1851" t="s">
        <v>0</v>
      </c>
      <c r="P1851" s="162"/>
    </row>
    <row r="1852" spans="3:27" x14ac:dyDescent="0.35">
      <c r="C1852" s="187" t="s">
        <v>7840</v>
      </c>
      <c r="D1852" s="463"/>
      <c r="E1852" s="463" t="s">
        <v>9396</v>
      </c>
      <c r="F1852" s="463" t="s">
        <v>9371</v>
      </c>
      <c r="G1852" s="916" t="s">
        <v>8775</v>
      </c>
      <c r="H1852" s="295" t="s">
        <v>7783</v>
      </c>
      <c r="J1852" t="s">
        <v>7788</v>
      </c>
      <c r="K1852" s="100">
        <v>5.0000000000000001E-3</v>
      </c>
      <c r="L1852" s="73" t="str">
        <f>"0603"</f>
        <v>0603</v>
      </c>
      <c r="N1852" s="1" t="s">
        <v>7780</v>
      </c>
      <c r="O1852" t="s">
        <v>0</v>
      </c>
      <c r="P1852" s="162">
        <v>15610</v>
      </c>
      <c r="Q1852" s="295" t="s">
        <v>8624</v>
      </c>
      <c r="R1852" t="s">
        <v>7921</v>
      </c>
      <c r="X1852" t="s">
        <v>8140</v>
      </c>
    </row>
    <row r="1853" spans="3:27" x14ac:dyDescent="0.35">
      <c r="C1853" s="869"/>
      <c r="D1853" s="463"/>
      <c r="E1853" s="463" t="s">
        <v>9396</v>
      </c>
      <c r="F1853" s="463" t="s">
        <v>9371</v>
      </c>
      <c r="G1853" s="916" t="s">
        <v>8775</v>
      </c>
      <c r="H1853" s="295" t="s">
        <v>7784</v>
      </c>
      <c r="J1853" t="s">
        <v>7788</v>
      </c>
      <c r="K1853" s="100">
        <v>7.0000000000000001E-3</v>
      </c>
      <c r="L1853" s="73" t="str">
        <f>"0603"</f>
        <v>0603</v>
      </c>
      <c r="N1853" s="1" t="s">
        <v>7321</v>
      </c>
      <c r="O1853" t="s">
        <v>0</v>
      </c>
      <c r="P1853" s="162">
        <v>15710</v>
      </c>
      <c r="Q1853" s="295" t="s">
        <v>8625</v>
      </c>
      <c r="R1853" t="s">
        <v>7922</v>
      </c>
      <c r="X1853" t="str">
        <f>N1326</f>
        <v>Cap: 1uF, 16V, 20%, 0603, 125C, $0.007</v>
      </c>
    </row>
    <row r="1854" spans="3:27" x14ac:dyDescent="0.35">
      <c r="D1854" s="463"/>
      <c r="E1854" s="990" t="s">
        <v>9409</v>
      </c>
      <c r="F1854" s="463" t="s">
        <v>9386</v>
      </c>
      <c r="G1854" s="916" t="s">
        <v>8775</v>
      </c>
      <c r="H1854" s="295" t="s">
        <v>4299</v>
      </c>
      <c r="J1854" t="s">
        <v>7788</v>
      </c>
      <c r="K1854" s="100">
        <v>3.7999999999999999E-2</v>
      </c>
      <c r="L1854" s="318">
        <v>1206</v>
      </c>
      <c r="N1854" s="1" t="s">
        <v>2102</v>
      </c>
      <c r="O1854" t="s">
        <v>0</v>
      </c>
      <c r="P1854" s="162">
        <v>15722</v>
      </c>
      <c r="Q1854" s="295" t="s">
        <v>8626</v>
      </c>
      <c r="R1854" t="s">
        <v>7923</v>
      </c>
      <c r="X1854" t="str">
        <f>N1325</f>
        <v>Cap: 2.2uF, 50V, 20%, 1206, 125C, $0.04</v>
      </c>
    </row>
    <row r="1855" spans="3:27" x14ac:dyDescent="0.35">
      <c r="D1855" s="463"/>
      <c r="E1855" s="990" t="s">
        <v>9397</v>
      </c>
      <c r="F1855" s="463" t="s">
        <v>9371</v>
      </c>
      <c r="G1855" s="916" t="s">
        <v>8775</v>
      </c>
      <c r="H1855" s="295" t="s">
        <v>4658</v>
      </c>
      <c r="J1855" t="s">
        <v>7788</v>
      </c>
      <c r="K1855" s="100">
        <v>0.08</v>
      </c>
      <c r="L1855" s="318">
        <v>1210</v>
      </c>
      <c r="N1855" s="1" t="s">
        <v>3151</v>
      </c>
      <c r="O1855" t="s">
        <v>0</v>
      </c>
      <c r="P1855" s="162">
        <v>15723</v>
      </c>
      <c r="Q1855" s="295" t="s">
        <v>8627</v>
      </c>
      <c r="R1855" t="s">
        <v>7924</v>
      </c>
      <c r="X1855" t="str">
        <f>N1330</f>
        <v>Cap: 2.2uF, 100V, 20%, 1210, 125C, $0.08</v>
      </c>
    </row>
    <row r="1856" spans="3:27" x14ac:dyDescent="0.35">
      <c r="D1856" s="463"/>
      <c r="E1856" s="463" t="s">
        <v>9396</v>
      </c>
      <c r="F1856" s="463" t="s">
        <v>9387</v>
      </c>
      <c r="G1856" s="916" t="s">
        <v>8775</v>
      </c>
      <c r="H1856" s="295" t="s">
        <v>3188</v>
      </c>
      <c r="J1856" t="s">
        <v>7788</v>
      </c>
      <c r="K1856" s="100">
        <v>2.5999999999999999E-2</v>
      </c>
      <c r="L1856" s="318" t="str">
        <f>"0805"</f>
        <v>0805</v>
      </c>
      <c r="N1856" s="1" t="s">
        <v>3189</v>
      </c>
      <c r="O1856" t="s">
        <v>0</v>
      </c>
      <c r="P1856" s="162">
        <v>15810</v>
      </c>
      <c r="Q1856" s="295" t="s">
        <v>8628</v>
      </c>
      <c r="R1856" t="s">
        <v>7925</v>
      </c>
      <c r="X1856" t="str">
        <f>N1322</f>
        <v>Cap: 10uF, 10V, 20%, 0805, 125C, $0.026</v>
      </c>
    </row>
    <row r="1857" spans="2:24" x14ac:dyDescent="0.35">
      <c r="D1857" s="463"/>
      <c r="E1857" s="463" t="s">
        <v>9396</v>
      </c>
      <c r="F1857" s="463" t="s">
        <v>9371</v>
      </c>
      <c r="G1857" s="916" t="s">
        <v>8775</v>
      </c>
      <c r="H1857" s="295" t="s">
        <v>7750</v>
      </c>
      <c r="J1857" t="s">
        <v>7788</v>
      </c>
      <c r="K1857" s="100">
        <v>0.04</v>
      </c>
      <c r="L1857" s="318" t="str">
        <f>"0805"</f>
        <v>0805</v>
      </c>
      <c r="N1857" s="1" t="s">
        <v>6754</v>
      </c>
      <c r="O1857" t="s">
        <v>0</v>
      </c>
      <c r="P1857" s="162">
        <v>15811</v>
      </c>
      <c r="Q1857" s="295" t="s">
        <v>8629</v>
      </c>
      <c r="R1857" t="s">
        <v>7926</v>
      </c>
      <c r="X1857" t="str">
        <f>N1323</f>
        <v>Cap: 10uF, 16V, 20%, 0805, 125C, $0.035</v>
      </c>
    </row>
    <row r="1858" spans="2:24" x14ac:dyDescent="0.35">
      <c r="D1858" s="463"/>
      <c r="E1858" s="463" t="s">
        <v>9396</v>
      </c>
      <c r="F1858" s="463" t="s">
        <v>3200</v>
      </c>
      <c r="G1858" s="916" t="s">
        <v>8775</v>
      </c>
      <c r="H1858" s="295" t="s">
        <v>3200</v>
      </c>
      <c r="J1858" t="s">
        <v>7788</v>
      </c>
      <c r="K1858" s="100">
        <v>4.3999999999999997E-2</v>
      </c>
      <c r="L1858" s="318">
        <v>1206</v>
      </c>
      <c r="N1858" s="1" t="s">
        <v>2616</v>
      </c>
      <c r="O1858" t="s">
        <v>0</v>
      </c>
      <c r="P1858" s="162">
        <v>15812</v>
      </c>
      <c r="Q1858" s="295" t="s">
        <v>8630</v>
      </c>
      <c r="R1858" t="s">
        <v>7927</v>
      </c>
      <c r="X1858" t="str">
        <f>N1324</f>
        <v>Cap: 10uF, 25V, 20%, 1206, 125C, $0.044</v>
      </c>
    </row>
    <row r="1859" spans="2:24" x14ac:dyDescent="0.35">
      <c r="D1859" s="463"/>
      <c r="E1859" s="463"/>
      <c r="F1859" s="463"/>
      <c r="G1859" s="915"/>
      <c r="H1859" s="295"/>
      <c r="K1859" s="336"/>
      <c r="L1859" s="318"/>
      <c r="N1859" s="1"/>
      <c r="P1859" s="162"/>
    </row>
    <row r="1860" spans="2:24" x14ac:dyDescent="0.35">
      <c r="B1860" s="83" t="s">
        <v>3259</v>
      </c>
      <c r="D1860" s="463"/>
      <c r="E1860" s="463"/>
      <c r="F1860" s="463" t="s">
        <v>3891</v>
      </c>
      <c r="G1860" s="916" t="s">
        <v>8775</v>
      </c>
      <c r="H1860" s="295" t="s">
        <v>3891</v>
      </c>
      <c r="J1860" t="s">
        <v>7841</v>
      </c>
      <c r="K1860" s="336">
        <v>0.34</v>
      </c>
      <c r="L1860" s="295" t="s">
        <v>8640</v>
      </c>
      <c r="N1860" s="1" t="s">
        <v>3890</v>
      </c>
      <c r="O1860" t="s">
        <v>0</v>
      </c>
      <c r="P1860" s="907">
        <v>47113</v>
      </c>
      <c r="Q1860" s="295" t="s">
        <v>8631</v>
      </c>
      <c r="R1860" t="s">
        <v>8476</v>
      </c>
      <c r="X1860" t="str">
        <f>P1356</f>
        <v>MPCH1055L1R3, 1.3uH, 2.3mΩ, 18A, 12x10x5.5mm, $.34</v>
      </c>
    </row>
    <row r="1861" spans="2:24" x14ac:dyDescent="0.35">
      <c r="D1861" s="463"/>
      <c r="E1861" s="463"/>
      <c r="F1861" s="463" t="s">
        <v>4654</v>
      </c>
      <c r="G1861" s="916" t="s">
        <v>8775</v>
      </c>
      <c r="H1861" s="295" t="s">
        <v>4654</v>
      </c>
      <c r="J1861" t="s">
        <v>7932</v>
      </c>
      <c r="K1861" s="336">
        <v>0.48</v>
      </c>
      <c r="L1861" s="295" t="s">
        <v>8641</v>
      </c>
      <c r="N1861" s="1" t="s">
        <v>4653</v>
      </c>
      <c r="O1861" t="s">
        <v>0</v>
      </c>
      <c r="P1861" s="907">
        <v>47210</v>
      </c>
      <c r="Q1861" s="295" t="s">
        <v>8632</v>
      </c>
      <c r="R1861" t="s">
        <v>8477</v>
      </c>
      <c r="X1861" t="str">
        <f>P1350</f>
        <v>SRU1048-100Y, 10uH, 4A, 18mΩ, 10x10x5mm, $.45</v>
      </c>
    </row>
    <row r="1862" spans="2:24" x14ac:dyDescent="0.35">
      <c r="D1862" s="463"/>
      <c r="E1862" s="463" t="s">
        <v>9395</v>
      </c>
      <c r="F1862" s="463" t="s">
        <v>9371</v>
      </c>
      <c r="G1862" s="916" t="s">
        <v>8775</v>
      </c>
      <c r="H1862" s="295" t="s">
        <v>7878</v>
      </c>
      <c r="J1862" t="s">
        <v>7789</v>
      </c>
      <c r="K1862" s="336">
        <v>0.14000000000000001</v>
      </c>
      <c r="L1862" s="295" t="s">
        <v>8642</v>
      </c>
      <c r="N1862" s="1" t="s">
        <v>7877</v>
      </c>
      <c r="O1862" t="s">
        <v>0</v>
      </c>
      <c r="P1862" s="907">
        <v>47215</v>
      </c>
      <c r="Q1862" s="295" t="s">
        <v>8633</v>
      </c>
      <c r="R1862" t="s">
        <v>8478</v>
      </c>
      <c r="X1862" t="str">
        <f>P1345</f>
        <v>NR6028T150M, 15uH, 1.6A, 0.12Ω, 6x6x3mm, $.14</v>
      </c>
    </row>
    <row r="1863" spans="2:24" x14ac:dyDescent="0.35">
      <c r="D1863" s="463"/>
      <c r="E1863" s="990" t="s">
        <v>9398</v>
      </c>
      <c r="F1863" s="463" t="s">
        <v>9371</v>
      </c>
      <c r="G1863" s="916" t="s">
        <v>8775</v>
      </c>
      <c r="H1863" s="295" t="s">
        <v>7831</v>
      </c>
      <c r="J1863" t="s">
        <v>7789</v>
      </c>
      <c r="K1863" s="336">
        <v>0.1</v>
      </c>
      <c r="L1863" s="295" t="s">
        <v>8643</v>
      </c>
      <c r="N1863" s="1" t="s">
        <v>7830</v>
      </c>
      <c r="O1863" t="s">
        <v>0</v>
      </c>
      <c r="P1863" s="907">
        <v>47233</v>
      </c>
      <c r="Q1863" s="295" t="s">
        <v>8634</v>
      </c>
      <c r="R1863" t="s">
        <v>8479</v>
      </c>
      <c r="X1863" t="str">
        <f>P1344</f>
        <v>NRS4012T330M, 33uH, 0.4A, 720mΩ, 4x4x1H mm, $0.10</v>
      </c>
    </row>
    <row r="1864" spans="2:24" x14ac:dyDescent="0.35">
      <c r="D1864" s="463"/>
      <c r="E1864" s="463" t="s">
        <v>9395</v>
      </c>
      <c r="F1864" s="463" t="s">
        <v>9371</v>
      </c>
      <c r="G1864" s="916" t="s">
        <v>8775</v>
      </c>
      <c r="H1864" s="295" t="s">
        <v>6753</v>
      </c>
      <c r="J1864" t="s">
        <v>7789</v>
      </c>
      <c r="K1864" s="336">
        <v>0.14000000000000001</v>
      </c>
      <c r="L1864" s="295" t="s">
        <v>8642</v>
      </c>
      <c r="N1864" s="1" t="s">
        <v>6751</v>
      </c>
      <c r="O1864" t="s">
        <v>0</v>
      </c>
      <c r="P1864" s="907">
        <v>47234</v>
      </c>
      <c r="Q1864" s="295" t="s">
        <v>8635</v>
      </c>
      <c r="R1864" t="s">
        <v>8480</v>
      </c>
      <c r="X1864" t="str">
        <f>P1343</f>
        <v>NR6028T330M, 33uH, 1.1A, 0.28Ω, 6x6x3mm, $.14</v>
      </c>
    </row>
    <row r="1865" spans="2:24" x14ac:dyDescent="0.35">
      <c r="D1865" s="463"/>
      <c r="E1865" s="463"/>
      <c r="F1865" s="463" t="s">
        <v>3227</v>
      </c>
      <c r="G1865" s="916" t="s">
        <v>8775</v>
      </c>
      <c r="H1865" s="295" t="s">
        <v>3227</v>
      </c>
      <c r="J1865" t="s">
        <v>8096</v>
      </c>
      <c r="K1865" s="336">
        <v>0.85</v>
      </c>
      <c r="L1865" s="295" t="s">
        <v>8644</v>
      </c>
      <c r="N1865" s="1" t="s">
        <v>3226</v>
      </c>
      <c r="O1865" t="s">
        <v>0</v>
      </c>
      <c r="P1865" s="907">
        <v>47256</v>
      </c>
      <c r="Q1865" s="295" t="s">
        <v>8636</v>
      </c>
      <c r="R1865" t="s">
        <v>8481</v>
      </c>
      <c r="X1865" t="str">
        <f>P1348</f>
        <v>HCM1A1307V2-560-R, 56uH, 4A, 56mΩ, 13x12x7mm, $.85</v>
      </c>
    </row>
    <row r="1866" spans="2:24" x14ac:dyDescent="0.35">
      <c r="D1866" s="463"/>
      <c r="E1866" s="463" t="s">
        <v>9395</v>
      </c>
      <c r="F1866" s="463" t="s">
        <v>9371</v>
      </c>
      <c r="G1866" s="916" t="s">
        <v>8775</v>
      </c>
      <c r="H1866" s="295" t="s">
        <v>6632</v>
      </c>
      <c r="J1866" t="s">
        <v>7789</v>
      </c>
      <c r="K1866" s="336">
        <v>0.1</v>
      </c>
      <c r="L1866" s="295" t="s">
        <v>8643</v>
      </c>
      <c r="N1866" s="1" t="s">
        <v>6631</v>
      </c>
      <c r="O1866" t="s">
        <v>0</v>
      </c>
      <c r="P1866" s="907">
        <v>47310</v>
      </c>
      <c r="Q1866" s="295" t="s">
        <v>8637</v>
      </c>
      <c r="R1866" t="s">
        <v>8482</v>
      </c>
      <c r="X1866" t="str">
        <f>P1342</f>
        <v>NRS4018T101M, 100uH, .3A, 1.74Ω, 4x4x2mm, $.10</v>
      </c>
    </row>
    <row r="1867" spans="2:24" x14ac:dyDescent="0.35">
      <c r="D1867" s="463"/>
      <c r="E1867" s="463" t="s">
        <v>9399</v>
      </c>
      <c r="F1867" s="463" t="s">
        <v>9371</v>
      </c>
      <c r="G1867" s="916" t="s">
        <v>8775</v>
      </c>
      <c r="H1867" s="295" t="s">
        <v>7842</v>
      </c>
      <c r="J1867" t="s">
        <v>7843</v>
      </c>
      <c r="K1867" s="336">
        <v>0.26</v>
      </c>
      <c r="L1867" s="295" t="s">
        <v>8645</v>
      </c>
      <c r="N1867" s="1" t="s">
        <v>7808</v>
      </c>
      <c r="O1867" t="s">
        <v>0</v>
      </c>
      <c r="P1867" s="907">
        <v>47347</v>
      </c>
      <c r="Q1867" s="295" t="s">
        <v>8638</v>
      </c>
      <c r="R1867" t="s">
        <v>8483</v>
      </c>
      <c r="X1867" t="str">
        <f>P1364</f>
        <v>SCRH125-471, 470uH, 0.6A, 770mΩ, 12x12x6H mm, $0.26 arrow</v>
      </c>
    </row>
    <row r="1868" spans="2:24" x14ac:dyDescent="0.35">
      <c r="D1868" s="463"/>
      <c r="E1868" s="463"/>
      <c r="F1868" s="463"/>
      <c r="G1868" s="915"/>
      <c r="K1868" s="100"/>
      <c r="N1868" s="1"/>
      <c r="P1868" s="162"/>
      <c r="Q1868" s="295" t="str">
        <f>CONCATENATE("Ma2-",TEXT(P1868,"##,###"))</f>
        <v>Ma2-</v>
      </c>
    </row>
    <row r="1869" spans="2:24" x14ac:dyDescent="0.35">
      <c r="B1869" s="83" t="s">
        <v>7765</v>
      </c>
      <c r="C1869" s="187" t="s">
        <v>8002</v>
      </c>
      <c r="D1869" s="463"/>
      <c r="E1869" s="463" t="s">
        <v>9400</v>
      </c>
      <c r="F1869" s="463"/>
      <c r="G1869" s="916" t="s">
        <v>8775</v>
      </c>
      <c r="H1869" s="155" t="s">
        <v>8439</v>
      </c>
      <c r="J1869" t="s">
        <v>7731</v>
      </c>
      <c r="K1869" s="100">
        <v>0.02</v>
      </c>
      <c r="L1869" s="73" t="str">
        <f t="shared" ref="L1869:L1895" si="80">"0603"</f>
        <v>0603</v>
      </c>
      <c r="N1869" s="1" t="s">
        <v>8438</v>
      </c>
      <c r="O1869" s="128">
        <v>90.9</v>
      </c>
      <c r="P1869" s="162">
        <v>73909</v>
      </c>
      <c r="Q1869" s="295" t="s">
        <v>8535</v>
      </c>
      <c r="R1869" s="325" t="s">
        <v>8484</v>
      </c>
      <c r="W1869" s="309" t="s">
        <v>8437</v>
      </c>
      <c r="X1869" t="str">
        <f>O1246</f>
        <v>ResTF: ?Ω 75V 0.5% .06W 25ppm 0603 $.01</v>
      </c>
    </row>
    <row r="1870" spans="2:24" x14ac:dyDescent="0.35">
      <c r="B1870" s="83" t="s">
        <v>7764</v>
      </c>
      <c r="C1870" s="155"/>
      <c r="D1870" s="463"/>
      <c r="E1870" s="463"/>
      <c r="F1870" s="463" t="s">
        <v>9401</v>
      </c>
      <c r="G1870" s="916" t="s">
        <v>8775</v>
      </c>
      <c r="H1870" s="155" t="s">
        <v>8388</v>
      </c>
      <c r="J1870" t="s">
        <v>7731</v>
      </c>
      <c r="K1870" s="100">
        <v>0.01</v>
      </c>
      <c r="L1870" s="73" t="str">
        <f t="shared" si="80"/>
        <v>0603</v>
      </c>
      <c r="N1870" s="1" t="s">
        <v>8389</v>
      </c>
      <c r="O1870" s="128">
        <v>100</v>
      </c>
      <c r="P1870" s="162">
        <v>73100</v>
      </c>
      <c r="Q1870" s="295" t="s">
        <v>8445</v>
      </c>
      <c r="R1870" s="325" t="s">
        <v>8485</v>
      </c>
      <c r="W1870" s="309"/>
    </row>
    <row r="1871" spans="2:24" x14ac:dyDescent="0.35">
      <c r="B1871" s="83" t="s">
        <v>4365</v>
      </c>
      <c r="C1871" s="155"/>
      <c r="D1871" s="463"/>
      <c r="E1871" s="463" t="s">
        <v>9402</v>
      </c>
      <c r="F1871" s="463"/>
      <c r="G1871" s="916" t="s">
        <v>8775</v>
      </c>
      <c r="H1871" s="155" t="s">
        <v>8390</v>
      </c>
      <c r="J1871" t="s">
        <v>7731</v>
      </c>
      <c r="K1871" s="100">
        <v>0.01</v>
      </c>
      <c r="L1871" s="73" t="str">
        <f t="shared" si="80"/>
        <v>0603</v>
      </c>
      <c r="N1871" s="1" t="s">
        <v>8391</v>
      </c>
      <c r="O1871" s="128">
        <v>150</v>
      </c>
      <c r="P1871" s="162">
        <v>73150</v>
      </c>
      <c r="Q1871" s="295" t="s">
        <v>8446</v>
      </c>
      <c r="R1871" s="325" t="s">
        <v>8486</v>
      </c>
      <c r="W1871" s="309"/>
    </row>
    <row r="1872" spans="2:24" x14ac:dyDescent="0.35">
      <c r="C1872" s="155"/>
      <c r="D1872" s="463"/>
      <c r="E1872" s="463" t="s">
        <v>9400</v>
      </c>
      <c r="F1872" s="463"/>
      <c r="G1872" s="916" t="s">
        <v>8775</v>
      </c>
      <c r="H1872" s="155" t="s">
        <v>8393</v>
      </c>
      <c r="J1872" t="s">
        <v>7731</v>
      </c>
      <c r="K1872" s="100">
        <v>0.01</v>
      </c>
      <c r="L1872" s="73" t="str">
        <f t="shared" si="80"/>
        <v>0603</v>
      </c>
      <c r="N1872" s="1" t="s">
        <v>8392</v>
      </c>
      <c r="O1872" s="128">
        <v>294</v>
      </c>
      <c r="P1872" s="162">
        <v>73294</v>
      </c>
      <c r="Q1872" s="295" t="s">
        <v>8447</v>
      </c>
      <c r="R1872" s="325" t="s">
        <v>8487</v>
      </c>
      <c r="W1872" s="309"/>
    </row>
    <row r="1873" spans="3:23" x14ac:dyDescent="0.35">
      <c r="C1873" s="155"/>
      <c r="D1873" s="463"/>
      <c r="E1873" s="463" t="s">
        <v>9400</v>
      </c>
      <c r="F1873" s="463" t="s">
        <v>9403</v>
      </c>
      <c r="G1873" s="916" t="s">
        <v>8775</v>
      </c>
      <c r="H1873" s="155" t="s">
        <v>8394</v>
      </c>
      <c r="J1873" t="s">
        <v>7731</v>
      </c>
      <c r="K1873" s="100">
        <v>0.01</v>
      </c>
      <c r="L1873" s="73" t="str">
        <f t="shared" si="80"/>
        <v>0603</v>
      </c>
      <c r="N1873" s="1" t="s">
        <v>8436</v>
      </c>
      <c r="O1873" s="128">
        <v>470</v>
      </c>
      <c r="P1873" s="162">
        <v>73470</v>
      </c>
      <c r="Q1873" s="295" t="s">
        <v>8448</v>
      </c>
      <c r="R1873" s="325" t="s">
        <v>8488</v>
      </c>
      <c r="W1873" s="309"/>
    </row>
    <row r="1874" spans="3:23" x14ac:dyDescent="0.35">
      <c r="C1874" s="155"/>
      <c r="D1874" s="463"/>
      <c r="E1874" s="463" t="s">
        <v>9400</v>
      </c>
      <c r="F1874" s="463"/>
      <c r="G1874" s="916" t="s">
        <v>8775</v>
      </c>
      <c r="H1874" s="155" t="s">
        <v>8395</v>
      </c>
      <c r="J1874" t="s">
        <v>7731</v>
      </c>
      <c r="K1874" s="100">
        <v>0.01</v>
      </c>
      <c r="L1874" s="73" t="str">
        <f t="shared" si="80"/>
        <v>0603</v>
      </c>
      <c r="N1874" s="1" t="s">
        <v>8435</v>
      </c>
      <c r="O1874" s="128">
        <v>560</v>
      </c>
      <c r="P1874" s="162">
        <v>73560</v>
      </c>
      <c r="Q1874" s="295" t="s">
        <v>8449</v>
      </c>
      <c r="R1874" s="325" t="s">
        <v>8489</v>
      </c>
      <c r="W1874" s="309"/>
    </row>
    <row r="1875" spans="3:23" x14ac:dyDescent="0.35">
      <c r="C1875" s="155"/>
      <c r="D1875" s="463"/>
      <c r="E1875" s="463" t="s">
        <v>9400</v>
      </c>
      <c r="F1875" s="463"/>
      <c r="G1875" s="916" t="s">
        <v>8775</v>
      </c>
      <c r="H1875" s="155" t="s">
        <v>8398</v>
      </c>
      <c r="J1875" t="s">
        <v>7731</v>
      </c>
      <c r="K1875" s="100">
        <v>0.01</v>
      </c>
      <c r="L1875" s="73" t="str">
        <f t="shared" si="80"/>
        <v>0603</v>
      </c>
      <c r="N1875" s="1" t="s">
        <v>8397</v>
      </c>
      <c r="O1875" s="128">
        <v>715</v>
      </c>
      <c r="P1875" s="162">
        <v>73715</v>
      </c>
      <c r="Q1875" s="295" t="s">
        <v>8450</v>
      </c>
      <c r="R1875" s="325" t="s">
        <v>8490</v>
      </c>
      <c r="W1875" s="309" t="s">
        <v>8396</v>
      </c>
    </row>
    <row r="1876" spans="3:23" x14ac:dyDescent="0.35">
      <c r="C1876" s="155"/>
      <c r="D1876" s="463"/>
      <c r="E1876" s="463" t="s">
        <v>9400</v>
      </c>
      <c r="F1876" s="463"/>
      <c r="G1876" s="916" t="s">
        <v>8775</v>
      </c>
      <c r="H1876" s="155" t="s">
        <v>8400</v>
      </c>
      <c r="J1876" t="s">
        <v>7731</v>
      </c>
      <c r="K1876" s="100">
        <v>0.01</v>
      </c>
      <c r="L1876" s="73" t="str">
        <f t="shared" si="80"/>
        <v>0603</v>
      </c>
      <c r="N1876" s="1" t="s">
        <v>8399</v>
      </c>
      <c r="O1876" s="128">
        <v>820</v>
      </c>
      <c r="P1876" s="162">
        <v>73820</v>
      </c>
      <c r="Q1876" s="295" t="s">
        <v>8451</v>
      </c>
      <c r="R1876" s="325" t="s">
        <v>8491</v>
      </c>
      <c r="W1876" s="309"/>
    </row>
    <row r="1877" spans="3:23" x14ac:dyDescent="0.35">
      <c r="C1877" s="155"/>
      <c r="D1877" s="463"/>
      <c r="E1877" s="463" t="s">
        <v>9400</v>
      </c>
      <c r="F1877" s="463"/>
      <c r="G1877" s="916" t="s">
        <v>8775</v>
      </c>
      <c r="H1877" s="155" t="s">
        <v>8402</v>
      </c>
      <c r="J1877" t="s">
        <v>7731</v>
      </c>
      <c r="K1877" s="100">
        <v>0.01</v>
      </c>
      <c r="L1877" s="73" t="str">
        <f t="shared" si="80"/>
        <v>0603</v>
      </c>
      <c r="N1877" s="1" t="s">
        <v>8401</v>
      </c>
      <c r="O1877" s="549">
        <v>910</v>
      </c>
      <c r="P1877" s="116">
        <v>73910</v>
      </c>
      <c r="Q1877" s="295" t="s">
        <v>8452</v>
      </c>
      <c r="R1877" s="325" t="s">
        <v>8492</v>
      </c>
      <c r="W1877" s="309"/>
    </row>
    <row r="1878" spans="3:23" x14ac:dyDescent="0.35">
      <c r="C1878" s="155"/>
      <c r="D1878" s="463"/>
      <c r="E1878" s="463"/>
      <c r="F1878" s="463" t="s">
        <v>9401</v>
      </c>
      <c r="G1878" s="916" t="s">
        <v>8775</v>
      </c>
      <c r="H1878" s="155" t="s">
        <v>8404</v>
      </c>
      <c r="J1878" t="s">
        <v>7731</v>
      </c>
      <c r="K1878" s="100">
        <v>0.01</v>
      </c>
      <c r="L1878" s="73" t="str">
        <f t="shared" si="80"/>
        <v>0603</v>
      </c>
      <c r="N1878" s="1" t="s">
        <v>8403</v>
      </c>
      <c r="O1878" s="128" t="s">
        <v>7738</v>
      </c>
      <c r="P1878" s="162">
        <v>74100</v>
      </c>
      <c r="Q1878" s="295" t="s">
        <v>8453</v>
      </c>
      <c r="R1878" s="325" t="s">
        <v>8493</v>
      </c>
      <c r="W1878" s="309"/>
    </row>
    <row r="1879" spans="3:23" x14ac:dyDescent="0.35">
      <c r="C1879" s="155"/>
      <c r="D1879" s="463"/>
      <c r="E1879" s="463" t="s">
        <v>9400</v>
      </c>
      <c r="F1879" s="463"/>
      <c r="G1879" s="916" t="s">
        <v>8775</v>
      </c>
      <c r="H1879" s="155" t="s">
        <v>8406</v>
      </c>
      <c r="J1879" t="s">
        <v>7731</v>
      </c>
      <c r="K1879" s="100">
        <v>0.01</v>
      </c>
      <c r="L1879" s="73" t="str">
        <f t="shared" si="80"/>
        <v>0603</v>
      </c>
      <c r="N1879" s="1" t="s">
        <v>8405</v>
      </c>
      <c r="O1879" t="s">
        <v>7743</v>
      </c>
      <c r="P1879" s="162">
        <v>74174</v>
      </c>
      <c r="Q1879" s="295" t="s">
        <v>8454</v>
      </c>
      <c r="R1879" s="325" t="s">
        <v>8494</v>
      </c>
      <c r="W1879" s="309"/>
    </row>
    <row r="1880" spans="3:23" x14ac:dyDescent="0.35">
      <c r="C1880" s="155"/>
      <c r="D1880" s="463"/>
      <c r="E1880" s="463"/>
      <c r="F1880" s="463" t="s">
        <v>9401</v>
      </c>
      <c r="G1880" s="916" t="s">
        <v>8775</v>
      </c>
      <c r="H1880" s="155" t="s">
        <v>8408</v>
      </c>
      <c r="J1880" t="s">
        <v>7731</v>
      </c>
      <c r="K1880" s="100">
        <v>0.01</v>
      </c>
      <c r="L1880" s="73" t="str">
        <f t="shared" si="80"/>
        <v>0603</v>
      </c>
      <c r="N1880" s="1" t="s">
        <v>8407</v>
      </c>
      <c r="O1880" t="s">
        <v>7741</v>
      </c>
      <c r="P1880" s="162">
        <v>74200</v>
      </c>
      <c r="Q1880" s="295" t="s">
        <v>8455</v>
      </c>
      <c r="R1880" s="325" t="s">
        <v>8495</v>
      </c>
      <c r="W1880" s="309"/>
    </row>
    <row r="1881" spans="3:23" x14ac:dyDescent="0.35">
      <c r="C1881" s="155"/>
      <c r="D1881" s="463"/>
      <c r="E1881" s="463" t="s">
        <v>9400</v>
      </c>
      <c r="F1881" s="463"/>
      <c r="G1881" s="916" t="s">
        <v>8775</v>
      </c>
      <c r="H1881" s="155" t="s">
        <v>8410</v>
      </c>
      <c r="J1881" t="s">
        <v>7731</v>
      </c>
      <c r="K1881" s="100">
        <v>0.01</v>
      </c>
      <c r="L1881" s="73" t="str">
        <f t="shared" si="80"/>
        <v>0603</v>
      </c>
      <c r="N1881" s="1" t="s">
        <v>8409</v>
      </c>
      <c r="O1881" t="s">
        <v>7740</v>
      </c>
      <c r="P1881" s="162">
        <v>74360</v>
      </c>
      <c r="Q1881" s="295" t="s">
        <v>8456</v>
      </c>
      <c r="R1881" s="325" t="s">
        <v>8496</v>
      </c>
      <c r="W1881" s="309"/>
    </row>
    <row r="1882" spans="3:23" x14ac:dyDescent="0.35">
      <c r="C1882" s="155"/>
      <c r="D1882" s="463"/>
      <c r="E1882" s="463"/>
      <c r="F1882" s="463" t="s">
        <v>9401</v>
      </c>
      <c r="G1882" s="916" t="s">
        <v>8775</v>
      </c>
      <c r="H1882" s="155" t="s">
        <v>8414</v>
      </c>
      <c r="J1882" t="s">
        <v>7731</v>
      </c>
      <c r="K1882" s="100">
        <v>0.01</v>
      </c>
      <c r="L1882" s="73" t="str">
        <f t="shared" si="80"/>
        <v>0603</v>
      </c>
      <c r="N1882" s="1" t="s">
        <v>8413</v>
      </c>
      <c r="O1882" t="s">
        <v>8412</v>
      </c>
      <c r="P1882" s="162">
        <v>74499</v>
      </c>
      <c r="Q1882" s="295" t="s">
        <v>8457</v>
      </c>
      <c r="R1882" s="325" t="s">
        <v>8497</v>
      </c>
      <c r="W1882" s="309" t="s">
        <v>8411</v>
      </c>
    </row>
    <row r="1883" spans="3:23" x14ac:dyDescent="0.35">
      <c r="C1883" s="155"/>
      <c r="D1883" s="463"/>
      <c r="E1883" s="463" t="s">
        <v>9400</v>
      </c>
      <c r="F1883" s="463"/>
      <c r="G1883" s="916" t="s">
        <v>8775</v>
      </c>
      <c r="H1883" s="155" t="s">
        <v>8418</v>
      </c>
      <c r="J1883" t="s">
        <v>7731</v>
      </c>
      <c r="K1883" s="100">
        <v>0.01</v>
      </c>
      <c r="L1883" s="73" t="str">
        <f t="shared" si="80"/>
        <v>0603</v>
      </c>
      <c r="N1883" s="1" t="s">
        <v>8417</v>
      </c>
      <c r="O1883" t="s">
        <v>8416</v>
      </c>
      <c r="P1883" s="162">
        <v>74536</v>
      </c>
      <c r="Q1883" s="295" t="s">
        <v>8536</v>
      </c>
      <c r="R1883" s="325" t="s">
        <v>8498</v>
      </c>
      <c r="W1883" s="309" t="s">
        <v>8415</v>
      </c>
    </row>
    <row r="1884" spans="3:23" x14ac:dyDescent="0.35">
      <c r="C1884" s="155"/>
      <c r="D1884" s="463"/>
      <c r="E1884" s="463" t="s">
        <v>9400</v>
      </c>
      <c r="F1884" s="463"/>
      <c r="G1884" s="916" t="s">
        <v>8775</v>
      </c>
      <c r="H1884" s="155" t="s">
        <v>8420</v>
      </c>
      <c r="J1884" t="s">
        <v>7731</v>
      </c>
      <c r="K1884" s="100">
        <v>0.01</v>
      </c>
      <c r="L1884" s="73" t="str">
        <f t="shared" si="80"/>
        <v>0603</v>
      </c>
      <c r="N1884" s="1" t="s">
        <v>8419</v>
      </c>
      <c r="O1884" s="4" t="s">
        <v>7739</v>
      </c>
      <c r="P1884" s="116">
        <v>74562</v>
      </c>
      <c r="Q1884" s="295" t="s">
        <v>8458</v>
      </c>
      <c r="R1884" s="325" t="s">
        <v>8499</v>
      </c>
    </row>
    <row r="1885" spans="3:23" x14ac:dyDescent="0.35">
      <c r="C1885" s="155"/>
      <c r="D1885" s="463"/>
      <c r="E1885" s="463"/>
      <c r="F1885" s="463" t="s">
        <v>9401</v>
      </c>
      <c r="G1885" s="916" t="s">
        <v>8775</v>
      </c>
      <c r="H1885" s="155" t="s">
        <v>3177</v>
      </c>
      <c r="J1885" t="s">
        <v>7731</v>
      </c>
      <c r="K1885" s="100">
        <v>0.01</v>
      </c>
      <c r="L1885" s="73" t="str">
        <f t="shared" si="80"/>
        <v>0603</v>
      </c>
      <c r="N1885" s="1" t="s">
        <v>7730</v>
      </c>
      <c r="O1885" t="s">
        <v>7737</v>
      </c>
      <c r="P1885" s="162">
        <v>75510</v>
      </c>
      <c r="Q1885" s="295" t="s">
        <v>8459</v>
      </c>
      <c r="R1885" s="325" t="s">
        <v>8500</v>
      </c>
    </row>
    <row r="1886" spans="3:23" x14ac:dyDescent="0.35">
      <c r="C1886" s="155"/>
      <c r="D1886" s="463"/>
      <c r="E1886" s="463" t="s">
        <v>9400</v>
      </c>
      <c r="F1886" s="463"/>
      <c r="G1886" s="916" t="s">
        <v>8775</v>
      </c>
      <c r="H1886" s="155" t="s">
        <v>8422</v>
      </c>
      <c r="J1886" t="s">
        <v>7731</v>
      </c>
      <c r="K1886" s="100">
        <v>0.01</v>
      </c>
      <c r="L1886" s="73" t="str">
        <f t="shared" si="80"/>
        <v>0603</v>
      </c>
      <c r="N1886" s="1" t="s">
        <v>8421</v>
      </c>
      <c r="O1886" t="s">
        <v>7742</v>
      </c>
      <c r="P1886" s="162">
        <v>75511</v>
      </c>
      <c r="Q1886" s="295" t="s">
        <v>8460</v>
      </c>
      <c r="R1886" s="325" t="s">
        <v>8501</v>
      </c>
    </row>
    <row r="1887" spans="3:23" x14ac:dyDescent="0.35">
      <c r="C1887" s="155"/>
      <c r="D1887" s="463"/>
      <c r="E1887" s="463" t="s">
        <v>9400</v>
      </c>
      <c r="F1887" s="463"/>
      <c r="G1887" s="916" t="s">
        <v>8775</v>
      </c>
      <c r="H1887" s="155" t="s">
        <v>8806</v>
      </c>
      <c r="J1887" t="s">
        <v>7731</v>
      </c>
      <c r="K1887" s="100">
        <v>0.01</v>
      </c>
      <c r="L1887" s="73" t="str">
        <f t="shared" si="80"/>
        <v>0603</v>
      </c>
      <c r="N1887" s="1" t="s">
        <v>8805</v>
      </c>
      <c r="O1887" t="s">
        <v>8354</v>
      </c>
      <c r="P1887" s="162">
        <v>75520</v>
      </c>
      <c r="Q1887" s="295" t="s">
        <v>8803</v>
      </c>
      <c r="R1887" s="325" t="s">
        <v>8804</v>
      </c>
    </row>
    <row r="1888" spans="3:23" x14ac:dyDescent="0.35">
      <c r="C1888" s="155"/>
      <c r="D1888" s="463"/>
      <c r="E1888" s="463" t="s">
        <v>9400</v>
      </c>
      <c r="F1888" s="463"/>
      <c r="G1888" s="916" t="s">
        <v>8775</v>
      </c>
      <c r="H1888" s="155" t="s">
        <v>8424</v>
      </c>
      <c r="J1888" t="s">
        <v>7731</v>
      </c>
      <c r="K1888" s="100">
        <v>0.01</v>
      </c>
      <c r="L1888" s="73" t="str">
        <f t="shared" si="80"/>
        <v>0603</v>
      </c>
      <c r="N1888" s="1" t="s">
        <v>8423</v>
      </c>
      <c r="O1888" t="s">
        <v>7941</v>
      </c>
      <c r="P1888" s="162">
        <v>75524</v>
      </c>
      <c r="Q1888" s="295" t="s">
        <v>8461</v>
      </c>
      <c r="R1888" s="325" t="s">
        <v>8502</v>
      </c>
    </row>
    <row r="1889" spans="3:24" x14ac:dyDescent="0.35">
      <c r="C1889" s="155"/>
      <c r="D1889" s="463"/>
      <c r="E1889" s="463" t="s">
        <v>9400</v>
      </c>
      <c r="F1889" s="463"/>
      <c r="G1889" s="916" t="s">
        <v>8775</v>
      </c>
      <c r="H1889" s="155" t="s">
        <v>8426</v>
      </c>
      <c r="J1889" t="s">
        <v>7731</v>
      </c>
      <c r="K1889" s="100">
        <v>0.01</v>
      </c>
      <c r="L1889" s="73" t="str">
        <f t="shared" si="80"/>
        <v>0603</v>
      </c>
      <c r="N1889" s="1" t="s">
        <v>8425</v>
      </c>
      <c r="O1889" t="s">
        <v>7734</v>
      </c>
      <c r="P1889" s="162">
        <v>75533</v>
      </c>
      <c r="Q1889" s="295" t="s">
        <v>8462</v>
      </c>
      <c r="R1889" s="325" t="s">
        <v>8503</v>
      </c>
      <c r="W1889" s="912" t="s">
        <v>8145</v>
      </c>
    </row>
    <row r="1890" spans="3:24" x14ac:dyDescent="0.35">
      <c r="C1890" s="187"/>
      <c r="D1890" s="463"/>
      <c r="E1890" s="463"/>
      <c r="F1890" s="463" t="s">
        <v>9401</v>
      </c>
      <c r="G1890" s="916" t="s">
        <v>8775</v>
      </c>
      <c r="H1890" s="155" t="s">
        <v>8428</v>
      </c>
      <c r="J1890" t="s">
        <v>7731</v>
      </c>
      <c r="K1890" s="100">
        <v>0.01</v>
      </c>
      <c r="L1890" s="73" t="str">
        <f t="shared" si="80"/>
        <v>0603</v>
      </c>
      <c r="N1890" s="1" t="s">
        <v>8427</v>
      </c>
      <c r="O1890" t="s">
        <v>7824</v>
      </c>
      <c r="P1890" s="162">
        <v>75610</v>
      </c>
      <c r="Q1890" s="295" t="s">
        <v>8463</v>
      </c>
      <c r="R1890" s="325" t="s">
        <v>8504</v>
      </c>
      <c r="W1890" t="s">
        <v>0</v>
      </c>
    </row>
    <row r="1891" spans="3:24" x14ac:dyDescent="0.35">
      <c r="C1891" s="187"/>
      <c r="D1891" s="463"/>
      <c r="E1891" s="463" t="s">
        <v>9400</v>
      </c>
      <c r="F1891" s="463"/>
      <c r="G1891" s="916" t="s">
        <v>8775</v>
      </c>
      <c r="H1891" s="155" t="s">
        <v>8430</v>
      </c>
      <c r="J1891" t="s">
        <v>7731</v>
      </c>
      <c r="K1891" s="100">
        <v>0.01</v>
      </c>
      <c r="L1891" s="73" t="str">
        <f t="shared" si="80"/>
        <v>0603</v>
      </c>
      <c r="N1891" s="1" t="s">
        <v>8429</v>
      </c>
      <c r="O1891" t="s">
        <v>7733</v>
      </c>
      <c r="P1891" s="162">
        <v>75615</v>
      </c>
      <c r="Q1891" s="295" t="s">
        <v>8464</v>
      </c>
      <c r="R1891" s="325" t="s">
        <v>8505</v>
      </c>
    </row>
    <row r="1892" spans="3:24" x14ac:dyDescent="0.35">
      <c r="C1892" s="187"/>
      <c r="D1892" s="463"/>
      <c r="E1892" s="463" t="s">
        <v>9400</v>
      </c>
      <c r="F1892" s="463"/>
      <c r="G1892" s="916" t="s">
        <v>8775</v>
      </c>
      <c r="H1892" s="155" t="s">
        <v>8432</v>
      </c>
      <c r="J1892" t="s">
        <v>7731</v>
      </c>
      <c r="K1892" s="100">
        <v>0.01</v>
      </c>
      <c r="L1892" s="73" t="str">
        <f t="shared" si="80"/>
        <v>0603</v>
      </c>
      <c r="N1892" s="1" t="s">
        <v>8431</v>
      </c>
      <c r="O1892" t="s">
        <v>8189</v>
      </c>
      <c r="P1892" s="162">
        <v>75622</v>
      </c>
      <c r="Q1892" s="295" t="s">
        <v>8465</v>
      </c>
      <c r="R1892" s="325" t="s">
        <v>8506</v>
      </c>
    </row>
    <row r="1893" spans="3:24" x14ac:dyDescent="0.35">
      <c r="C1893" s="187"/>
      <c r="D1893" s="463"/>
      <c r="E1893" s="463" t="s">
        <v>9400</v>
      </c>
      <c r="F1893" s="463"/>
      <c r="G1893" s="916" t="s">
        <v>8775</v>
      </c>
      <c r="H1893" s="155" t="s">
        <v>8434</v>
      </c>
      <c r="J1893" t="s">
        <v>7731</v>
      </c>
      <c r="K1893" s="100">
        <v>0.01</v>
      </c>
      <c r="L1893" s="73" t="str">
        <f t="shared" si="80"/>
        <v>0603</v>
      </c>
      <c r="N1893" s="1" t="s">
        <v>8433</v>
      </c>
      <c r="O1893" t="s">
        <v>7732</v>
      </c>
      <c r="P1893" s="162">
        <v>75633</v>
      </c>
      <c r="Q1893" s="295" t="s">
        <v>8466</v>
      </c>
      <c r="R1893" s="325" t="s">
        <v>8507</v>
      </c>
    </row>
    <row r="1894" spans="3:24" x14ac:dyDescent="0.35">
      <c r="C1894" s="187"/>
      <c r="D1894" s="463"/>
      <c r="E1894" s="463" t="s">
        <v>9400</v>
      </c>
      <c r="F1894" s="463"/>
      <c r="G1894" s="916" t="s">
        <v>8775</v>
      </c>
      <c r="H1894" s="155" t="s">
        <v>8444</v>
      </c>
      <c r="J1894" t="s">
        <v>8441</v>
      </c>
      <c r="K1894" s="100">
        <v>1.4999999999999999E-2</v>
      </c>
      <c r="L1894" s="73" t="str">
        <f t="shared" si="80"/>
        <v>0603</v>
      </c>
      <c r="N1894" s="1" t="s">
        <v>8440</v>
      </c>
      <c r="O1894" t="s">
        <v>8190</v>
      </c>
      <c r="P1894" s="162">
        <v>75647</v>
      </c>
      <c r="Q1894" s="295" t="s">
        <v>8467</v>
      </c>
      <c r="R1894" s="325" t="s">
        <v>8508</v>
      </c>
    </row>
    <row r="1895" spans="3:24" x14ac:dyDescent="0.35">
      <c r="C1895" s="187"/>
      <c r="D1895" s="463"/>
      <c r="E1895" s="463" t="s">
        <v>9400</v>
      </c>
      <c r="F1895" s="463"/>
      <c r="G1895" s="916" t="s">
        <v>8775</v>
      </c>
      <c r="H1895" s="155" t="s">
        <v>8443</v>
      </c>
      <c r="J1895" t="s">
        <v>8441</v>
      </c>
      <c r="K1895" s="100">
        <v>1.4999999999999999E-2</v>
      </c>
      <c r="L1895" s="73" t="str">
        <f t="shared" si="80"/>
        <v>0603</v>
      </c>
      <c r="N1895" s="913" t="s">
        <v>8442</v>
      </c>
      <c r="O1895" t="s">
        <v>7851</v>
      </c>
      <c r="P1895" s="162">
        <v>75673</v>
      </c>
      <c r="Q1895" s="295" t="s">
        <v>8468</v>
      </c>
      <c r="R1895" s="325" t="s">
        <v>8509</v>
      </c>
    </row>
    <row r="1896" spans="3:24" x14ac:dyDescent="0.35">
      <c r="C1896" s="187"/>
      <c r="D1896" s="463"/>
      <c r="E1896" s="463"/>
      <c r="F1896" s="463"/>
      <c r="G1896" s="915"/>
      <c r="K1896" s="185"/>
      <c r="P1896" s="162"/>
    </row>
    <row r="1897" spans="3:24" x14ac:dyDescent="0.35">
      <c r="C1897" s="187" t="s">
        <v>8356</v>
      </c>
      <c r="D1897" s="463"/>
      <c r="E1897" s="463"/>
      <c r="F1897" s="463"/>
      <c r="G1897" s="916" t="s">
        <v>8775</v>
      </c>
      <c r="H1897" t="s">
        <v>8855</v>
      </c>
      <c r="K1897" s="100"/>
      <c r="R1897" s="325" t="s">
        <v>0</v>
      </c>
      <c r="X1897" t="s">
        <v>0</v>
      </c>
    </row>
    <row r="1898" spans="3:24" x14ac:dyDescent="0.35">
      <c r="C1898" s="187"/>
      <c r="D1898" s="463"/>
      <c r="E1898" s="463" t="s">
        <v>9404</v>
      </c>
      <c r="F1898" s="463"/>
      <c r="G1898" s="916" t="s">
        <v>8775</v>
      </c>
      <c r="H1898" t="s">
        <v>9155</v>
      </c>
      <c r="J1898" t="s">
        <v>3360</v>
      </c>
      <c r="K1898" s="100">
        <v>3.1E-2</v>
      </c>
      <c r="L1898" s="73" t="str">
        <f t="shared" ref="L1898:L1902" si="81">"0603"</f>
        <v>0603</v>
      </c>
      <c r="N1898" s="1" t="s">
        <v>9151</v>
      </c>
      <c r="O1898" s="128">
        <v>102</v>
      </c>
      <c r="P1898" s="162">
        <v>76102</v>
      </c>
      <c r="Q1898" s="295" t="s">
        <v>9159</v>
      </c>
      <c r="R1898" s="325" t="s">
        <v>9163</v>
      </c>
    </row>
    <row r="1899" spans="3:24" x14ac:dyDescent="0.35">
      <c r="C1899" s="187"/>
      <c r="D1899" s="463"/>
      <c r="E1899" s="463" t="s">
        <v>9404</v>
      </c>
      <c r="F1899" s="463"/>
      <c r="G1899" s="916" t="s">
        <v>8775</v>
      </c>
      <c r="H1899" t="s">
        <v>9156</v>
      </c>
      <c r="J1899" t="s">
        <v>3360</v>
      </c>
      <c r="K1899" s="100">
        <v>3.1E-2</v>
      </c>
      <c r="L1899" s="73" t="str">
        <f t="shared" si="81"/>
        <v>0603</v>
      </c>
      <c r="N1899" s="1" t="s">
        <v>9152</v>
      </c>
      <c r="O1899" s="128">
        <v>160</v>
      </c>
      <c r="P1899" s="162">
        <v>76160</v>
      </c>
      <c r="Q1899" s="295" t="s">
        <v>9160</v>
      </c>
      <c r="R1899" s="325" t="s">
        <v>9164</v>
      </c>
    </row>
    <row r="1900" spans="3:24" x14ac:dyDescent="0.35">
      <c r="C1900" s="187"/>
      <c r="D1900" s="463"/>
      <c r="E1900" s="463" t="s">
        <v>9404</v>
      </c>
      <c r="F1900" s="463"/>
      <c r="G1900" s="916" t="s">
        <v>8775</v>
      </c>
      <c r="H1900" t="s">
        <v>9157</v>
      </c>
      <c r="J1900" t="s">
        <v>3360</v>
      </c>
      <c r="K1900" s="100">
        <v>3.1E-2</v>
      </c>
      <c r="L1900" s="73" t="str">
        <f t="shared" si="81"/>
        <v>0603</v>
      </c>
      <c r="N1900" s="1" t="s">
        <v>9153</v>
      </c>
      <c r="O1900" s="128">
        <v>383</v>
      </c>
      <c r="P1900" s="162">
        <v>76383</v>
      </c>
      <c r="Q1900" s="295" t="s">
        <v>9161</v>
      </c>
      <c r="R1900" s="325" t="s">
        <v>9166</v>
      </c>
    </row>
    <row r="1901" spans="3:24" x14ac:dyDescent="0.35">
      <c r="C1901" s="187"/>
      <c r="D1901" s="463"/>
      <c r="E1901" s="463" t="s">
        <v>9406</v>
      </c>
      <c r="F1901" s="463"/>
      <c r="G1901" s="916" t="s">
        <v>8775</v>
      </c>
      <c r="H1901" t="s">
        <v>8864</v>
      </c>
      <c r="J1901" t="s">
        <v>8362</v>
      </c>
      <c r="K1901" s="100">
        <v>0.04</v>
      </c>
      <c r="L1901" s="73" t="str">
        <f>"0603"</f>
        <v>0603</v>
      </c>
      <c r="N1901" s="1" t="s">
        <v>8863</v>
      </c>
      <c r="O1901" t="s">
        <v>8856</v>
      </c>
      <c r="P1901" s="162">
        <v>76690</v>
      </c>
      <c r="Q1901" s="295" t="s">
        <v>9405</v>
      </c>
      <c r="R1901" s="325" t="s">
        <v>8857</v>
      </c>
    </row>
    <row r="1902" spans="3:24" x14ac:dyDescent="0.35">
      <c r="C1902" s="187"/>
      <c r="D1902" s="463"/>
      <c r="E1902" s="463" t="s">
        <v>9404</v>
      </c>
      <c r="F1902" s="463"/>
      <c r="G1902" s="916" t="s">
        <v>8775</v>
      </c>
      <c r="H1902" t="s">
        <v>9158</v>
      </c>
      <c r="J1902" t="s">
        <v>3360</v>
      </c>
      <c r="K1902" s="100">
        <v>3.1E-2</v>
      </c>
      <c r="L1902" s="73" t="str">
        <f t="shared" si="81"/>
        <v>0603</v>
      </c>
      <c r="N1902" s="1" t="s">
        <v>9154</v>
      </c>
      <c r="O1902" s="128" t="s">
        <v>9168</v>
      </c>
      <c r="P1902" s="162">
        <v>76768</v>
      </c>
      <c r="Q1902" s="295" t="s">
        <v>9162</v>
      </c>
      <c r="R1902" s="325" t="s">
        <v>9167</v>
      </c>
    </row>
    <row r="1903" spans="3:24" x14ac:dyDescent="0.35">
      <c r="C1903" s="187"/>
      <c r="D1903" s="463"/>
      <c r="E1903" s="463" t="s">
        <v>9404</v>
      </c>
      <c r="F1903" s="463"/>
      <c r="G1903" s="916" t="s">
        <v>8775</v>
      </c>
      <c r="H1903" t="s">
        <v>8862</v>
      </c>
      <c r="J1903" t="s">
        <v>3360</v>
      </c>
      <c r="K1903" s="100">
        <v>3.5000000000000003E-2</v>
      </c>
      <c r="L1903" s="73" t="str">
        <f>"0603"</f>
        <v>0603</v>
      </c>
      <c r="N1903" s="1" t="s">
        <v>8861</v>
      </c>
      <c r="O1903" t="s">
        <v>8860</v>
      </c>
      <c r="P1903" s="162">
        <v>76517</v>
      </c>
      <c r="Q1903" s="295" t="s">
        <v>8859</v>
      </c>
      <c r="R1903" s="325" t="s">
        <v>8858</v>
      </c>
    </row>
    <row r="1904" spans="3:24" x14ac:dyDescent="0.35">
      <c r="D1904" s="463"/>
      <c r="E1904" s="463"/>
      <c r="F1904" s="463"/>
      <c r="G1904" s="915"/>
      <c r="K1904" s="100"/>
      <c r="L1904" s="319"/>
      <c r="N1904" s="1"/>
      <c r="P1904" s="162"/>
      <c r="R1904" s="325"/>
    </row>
    <row r="1905" spans="2:29" x14ac:dyDescent="0.35">
      <c r="C1905" s="187" t="s">
        <v>9183</v>
      </c>
      <c r="D1905" s="463"/>
      <c r="E1905" s="463" t="s">
        <v>9404</v>
      </c>
      <c r="F1905" s="463"/>
      <c r="G1905" s="916" t="s">
        <v>8775</v>
      </c>
      <c r="H1905" t="s">
        <v>8358</v>
      </c>
      <c r="J1905" t="s">
        <v>3360</v>
      </c>
      <c r="K1905" s="100">
        <v>0.19</v>
      </c>
      <c r="L1905" s="73" t="str">
        <f>"0603"</f>
        <v>0603</v>
      </c>
      <c r="N1905" s="1" t="s">
        <v>8146</v>
      </c>
      <c r="O1905" t="s">
        <v>8355</v>
      </c>
      <c r="P1905" s="162">
        <v>77530</v>
      </c>
      <c r="Q1905" s="295" t="s">
        <v>8537</v>
      </c>
      <c r="R1905" s="325" t="s">
        <v>8510</v>
      </c>
      <c r="X1905" s="325" t="s">
        <v>8147</v>
      </c>
      <c r="AC1905" t="s">
        <v>8876</v>
      </c>
    </row>
    <row r="1906" spans="2:29" x14ac:dyDescent="0.35">
      <c r="C1906" s="155"/>
      <c r="D1906" s="463"/>
      <c r="E1906" s="463"/>
      <c r="F1906" s="463"/>
      <c r="G1906" s="915"/>
      <c r="K1906" s="100"/>
      <c r="L1906" s="73"/>
      <c r="P1906" s="162"/>
      <c r="R1906" s="325"/>
    </row>
    <row r="1907" spans="2:29" x14ac:dyDescent="0.35">
      <c r="C1907" s="187" t="s">
        <v>8363</v>
      </c>
      <c r="D1907" s="463"/>
      <c r="E1907" s="463" t="s">
        <v>9407</v>
      </c>
      <c r="F1907" s="463"/>
      <c r="G1907" s="916" t="s">
        <v>8775</v>
      </c>
      <c r="H1907" t="s">
        <v>8360</v>
      </c>
      <c r="J1907" t="s">
        <v>7731</v>
      </c>
      <c r="K1907" s="100">
        <v>0.08</v>
      </c>
      <c r="L1907" s="319" t="str">
        <f>"0805"</f>
        <v>0805</v>
      </c>
      <c r="N1907" s="1" t="s">
        <v>7220</v>
      </c>
      <c r="O1907" t="s">
        <v>8384</v>
      </c>
      <c r="P1907" s="162">
        <v>78727</v>
      </c>
      <c r="Q1907" s="295" t="s">
        <v>8538</v>
      </c>
      <c r="R1907" s="325" t="s">
        <v>8511</v>
      </c>
      <c r="X1907" t="s">
        <v>8361</v>
      </c>
    </row>
    <row r="1908" spans="2:29" x14ac:dyDescent="0.35">
      <c r="C1908" s="187"/>
      <c r="D1908" s="463"/>
      <c r="E1908" s="463"/>
      <c r="F1908" s="463"/>
      <c r="G1908" s="915"/>
      <c r="K1908" s="100"/>
      <c r="L1908" s="73"/>
      <c r="P1908" s="162"/>
    </row>
    <row r="1909" spans="2:29" x14ac:dyDescent="0.35">
      <c r="C1909" s="187" t="s">
        <v>8364</v>
      </c>
      <c r="D1909" s="463"/>
      <c r="E1909" s="463"/>
      <c r="F1909" s="463"/>
      <c r="G1909" s="916" t="s">
        <v>8775</v>
      </c>
      <c r="H1909" s="345" t="s">
        <v>8359</v>
      </c>
      <c r="I1909" s="345"/>
      <c r="J1909" s="345" t="s">
        <v>3360</v>
      </c>
      <c r="K1909" s="888">
        <v>0.22</v>
      </c>
      <c r="L1909" s="341" t="str">
        <f>"0805"</f>
        <v>0805</v>
      </c>
      <c r="M1909" s="345"/>
      <c r="N1909" s="886" t="s">
        <v>8143</v>
      </c>
      <c r="O1909" s="345" t="s">
        <v>7734</v>
      </c>
      <c r="P1909" s="930">
        <v>79533</v>
      </c>
      <c r="Q1909" s="885" t="s">
        <v>8539</v>
      </c>
      <c r="R1909" s="340" t="s">
        <v>9181</v>
      </c>
      <c r="S1909" s="345"/>
      <c r="T1909" s="345"/>
      <c r="U1909" s="345"/>
      <c r="V1909" s="345"/>
      <c r="W1909" s="345"/>
      <c r="X1909" s="340" t="s">
        <v>9182</v>
      </c>
    </row>
    <row r="1910" spans="2:29" x14ac:dyDescent="0.35">
      <c r="C1910" s="187"/>
      <c r="D1910" s="463"/>
      <c r="E1910" s="463"/>
      <c r="F1910" s="463"/>
      <c r="G1910" s="916"/>
      <c r="H1910" s="345"/>
      <c r="I1910" s="345"/>
      <c r="J1910" s="345"/>
      <c r="K1910" s="888"/>
      <c r="L1910" s="341"/>
      <c r="M1910" s="345"/>
      <c r="N1910" s="886"/>
      <c r="O1910" s="345"/>
      <c r="P1910" s="930"/>
      <c r="Q1910" s="885"/>
      <c r="R1910" s="340"/>
      <c r="S1910" s="345"/>
      <c r="T1910" s="345"/>
      <c r="U1910" s="345"/>
      <c r="V1910" s="345"/>
      <c r="W1910" s="345"/>
      <c r="X1910" s="340"/>
    </row>
    <row r="1911" spans="2:29" x14ac:dyDescent="0.35">
      <c r="C1911" s="187" t="s">
        <v>8357</v>
      </c>
      <c r="D1911" s="463"/>
      <c r="E1911" s="463" t="s">
        <v>9404</v>
      </c>
      <c r="F1911" s="463"/>
      <c r="G1911" s="916" t="s">
        <v>8775</v>
      </c>
      <c r="H1911" s="325" t="s">
        <v>8016</v>
      </c>
      <c r="J1911" t="s">
        <v>7998</v>
      </c>
      <c r="K1911" s="323">
        <v>1.2999999999999999E-2</v>
      </c>
      <c r="L1911" s="507">
        <v>1206</v>
      </c>
      <c r="N1911" s="1" t="s">
        <v>7996</v>
      </c>
      <c r="O1911" s="128" t="s">
        <v>7837</v>
      </c>
      <c r="P1911" s="162">
        <v>89710</v>
      </c>
      <c r="Q1911" s="295" t="s">
        <v>8540</v>
      </c>
      <c r="R1911" s="325" t="s">
        <v>8512</v>
      </c>
      <c r="X1911" t="str">
        <f>O1258</f>
        <v>ResTF: ?Ω 150V 0.5% .12W 25ppm 1206 $.013</v>
      </c>
    </row>
    <row r="1912" spans="2:29" x14ac:dyDescent="0.35">
      <c r="C1912" s="187"/>
      <c r="D1912" s="463"/>
      <c r="E1912" s="463"/>
      <c r="F1912" s="463"/>
      <c r="G1912" s="915"/>
      <c r="K1912" s="185"/>
      <c r="O1912" s="3"/>
      <c r="P1912" s="162"/>
    </row>
    <row r="1913" spans="2:29" x14ac:dyDescent="0.35">
      <c r="B1913" s="83" t="s">
        <v>7766</v>
      </c>
      <c r="C1913" s="187" t="s">
        <v>8001</v>
      </c>
      <c r="D1913" s="463"/>
      <c r="E1913" s="463"/>
      <c r="F1913" s="463" t="s">
        <v>9401</v>
      </c>
      <c r="G1913" s="916" t="s">
        <v>8775</v>
      </c>
      <c r="H1913" t="s">
        <v>8378</v>
      </c>
      <c r="J1913" t="s">
        <v>7763</v>
      </c>
      <c r="K1913" s="323">
        <v>7.0000000000000001E-3</v>
      </c>
      <c r="L1913" s="73" t="str">
        <f t="shared" ref="L1913:L1956" si="82">"0603"</f>
        <v>0603</v>
      </c>
      <c r="O1913" s="128">
        <v>1</v>
      </c>
      <c r="P1913" s="162">
        <v>90110</v>
      </c>
      <c r="Q1913" s="295" t="s">
        <v>8541</v>
      </c>
      <c r="R1913" s="325" t="s">
        <v>8513</v>
      </c>
      <c r="V1913" s="12"/>
      <c r="X1913" t="s">
        <v>8377</v>
      </c>
    </row>
    <row r="1914" spans="2:29" x14ac:dyDescent="0.35">
      <c r="B1914" s="83" t="s">
        <v>8028</v>
      </c>
      <c r="C1914" s="155"/>
      <c r="D1914" s="463"/>
      <c r="E1914" s="463" t="s">
        <v>9408</v>
      </c>
      <c r="F1914" s="463"/>
      <c r="G1914" s="916" t="s">
        <v>8775</v>
      </c>
      <c r="H1914" t="s">
        <v>8379</v>
      </c>
      <c r="J1914" t="s">
        <v>8380</v>
      </c>
      <c r="K1914" s="323">
        <v>5.0000000000000001E-3</v>
      </c>
      <c r="L1914" s="73" t="str">
        <f t="shared" si="82"/>
        <v>0603</v>
      </c>
      <c r="O1914" s="128">
        <v>3.3</v>
      </c>
      <c r="P1914" s="162">
        <v>90133</v>
      </c>
      <c r="Q1914" s="295" t="s">
        <v>8542</v>
      </c>
      <c r="R1914" s="325" t="s">
        <v>8514</v>
      </c>
    </row>
    <row r="1915" spans="2:29" x14ac:dyDescent="0.35">
      <c r="B1915" s="83" t="s">
        <v>4365</v>
      </c>
      <c r="C1915" s="155"/>
      <c r="D1915" s="463"/>
      <c r="E1915" s="463"/>
      <c r="F1915" s="463" t="s">
        <v>9401</v>
      </c>
      <c r="G1915" s="916" t="s">
        <v>8775</v>
      </c>
      <c r="H1915" t="s">
        <v>8381</v>
      </c>
      <c r="J1915" t="s">
        <v>8380</v>
      </c>
      <c r="K1915" s="323">
        <v>5.0000000000000001E-3</v>
      </c>
      <c r="L1915" s="73" t="str">
        <f t="shared" si="82"/>
        <v>0603</v>
      </c>
      <c r="O1915" s="128">
        <v>4.7</v>
      </c>
      <c r="P1915" s="162">
        <v>90147</v>
      </c>
      <c r="Q1915" s="295" t="s">
        <v>8543</v>
      </c>
      <c r="R1915" s="325" t="s">
        <v>8515</v>
      </c>
    </row>
    <row r="1916" spans="2:29" x14ac:dyDescent="0.35">
      <c r="C1916" s="155"/>
      <c r="D1916" s="463"/>
      <c r="E1916" s="463"/>
      <c r="F1916" s="463"/>
      <c r="G1916" s="915"/>
      <c r="K1916" s="323"/>
      <c r="L1916" s="73"/>
      <c r="O1916" s="128"/>
      <c r="P1916" s="162"/>
      <c r="R1916" s="325"/>
    </row>
    <row r="1917" spans="2:29" x14ac:dyDescent="0.35">
      <c r="C1917" s="155"/>
      <c r="D1917" s="463"/>
      <c r="E1917" s="463"/>
      <c r="F1917" s="463" t="s">
        <v>9401</v>
      </c>
      <c r="G1917" s="916" t="s">
        <v>8775</v>
      </c>
      <c r="H1917" t="s">
        <v>8366</v>
      </c>
      <c r="J1917" t="s">
        <v>7763</v>
      </c>
      <c r="K1917" s="323">
        <v>2E-3</v>
      </c>
      <c r="L1917" s="73" t="str">
        <f t="shared" si="82"/>
        <v>0603</v>
      </c>
      <c r="N1917" s="1" t="s">
        <v>8383</v>
      </c>
      <c r="O1917" s="128">
        <v>10</v>
      </c>
      <c r="P1917" s="162">
        <v>90210</v>
      </c>
      <c r="Q1917" s="295" t="s">
        <v>8544</v>
      </c>
      <c r="R1917" s="325" t="s">
        <v>8516</v>
      </c>
      <c r="X1917" t="str">
        <f>O1266</f>
        <v>Res: ?Ω 75V 1% .06W 100ppm 0603 $.002</v>
      </c>
    </row>
    <row r="1918" spans="2:29" x14ac:dyDescent="0.35">
      <c r="C1918" s="155"/>
      <c r="D1918" s="463"/>
      <c r="E1918" s="463" t="s">
        <v>9400</v>
      </c>
      <c r="F1918" s="463"/>
      <c r="G1918" s="916" t="s">
        <v>8775</v>
      </c>
      <c r="H1918" t="s">
        <v>8367</v>
      </c>
      <c r="J1918" t="s">
        <v>7763</v>
      </c>
      <c r="K1918" s="323">
        <v>2E-3</v>
      </c>
      <c r="L1918" s="73" t="str">
        <f t="shared" si="82"/>
        <v>0603</v>
      </c>
      <c r="O1918" s="128">
        <v>33</v>
      </c>
      <c r="P1918" s="162">
        <v>90233</v>
      </c>
      <c r="Q1918" s="295" t="s">
        <v>8545</v>
      </c>
      <c r="R1918" s="325" t="s">
        <v>8517</v>
      </c>
    </row>
    <row r="1919" spans="2:29" x14ac:dyDescent="0.35">
      <c r="C1919" s="155"/>
      <c r="D1919" s="463"/>
      <c r="E1919" s="463" t="s">
        <v>9408</v>
      </c>
      <c r="F1919" s="463"/>
      <c r="G1919" s="916" t="s">
        <v>8775</v>
      </c>
      <c r="H1919" t="s">
        <v>8368</v>
      </c>
      <c r="J1919" t="s">
        <v>7763</v>
      </c>
      <c r="K1919" s="323">
        <v>2E-3</v>
      </c>
      <c r="L1919" s="73" t="str">
        <f t="shared" si="82"/>
        <v>0603</v>
      </c>
      <c r="O1919" s="128">
        <v>62</v>
      </c>
      <c r="P1919" s="162">
        <v>90262</v>
      </c>
      <c r="Q1919" s="295" t="s">
        <v>8546</v>
      </c>
      <c r="R1919" s="325" t="s">
        <v>8518</v>
      </c>
    </row>
    <row r="1920" spans="2:29" x14ac:dyDescent="0.35">
      <c r="C1920" s="155"/>
      <c r="D1920" s="463"/>
      <c r="E1920" s="463"/>
      <c r="F1920" s="463" t="s">
        <v>9401</v>
      </c>
      <c r="G1920" s="916" t="s">
        <v>8775</v>
      </c>
      <c r="H1920" t="s">
        <v>8369</v>
      </c>
      <c r="J1920" t="s">
        <v>7763</v>
      </c>
      <c r="K1920" s="323">
        <v>2E-3</v>
      </c>
      <c r="L1920" s="73" t="str">
        <f t="shared" si="82"/>
        <v>0603</v>
      </c>
      <c r="O1920" s="128">
        <v>100</v>
      </c>
      <c r="P1920" s="162">
        <v>90310</v>
      </c>
      <c r="Q1920" s="295" t="s">
        <v>8547</v>
      </c>
      <c r="R1920" s="325" t="s">
        <v>8519</v>
      </c>
    </row>
    <row r="1921" spans="3:29" x14ac:dyDescent="0.35">
      <c r="C1921" s="187"/>
      <c r="D1921" s="463"/>
      <c r="E1921" s="463" t="s">
        <v>9400</v>
      </c>
      <c r="F1921" s="463"/>
      <c r="G1921" s="916" t="s">
        <v>8775</v>
      </c>
      <c r="H1921" t="s">
        <v>8370</v>
      </c>
      <c r="J1921" t="s">
        <v>7763</v>
      </c>
      <c r="K1921" s="323">
        <v>2E-3</v>
      </c>
      <c r="L1921" s="73" t="str">
        <f t="shared" si="82"/>
        <v>0603</v>
      </c>
      <c r="O1921" s="128">
        <v>220</v>
      </c>
      <c r="P1921" s="162">
        <v>90322</v>
      </c>
      <c r="Q1921" s="295" t="s">
        <v>8548</v>
      </c>
      <c r="R1921" s="325" t="s">
        <v>8520</v>
      </c>
      <c r="T1921" s="73"/>
      <c r="V1921" s="73"/>
    </row>
    <row r="1922" spans="3:29" x14ac:dyDescent="0.35">
      <c r="C1922" s="187"/>
      <c r="D1922" s="463"/>
      <c r="E1922" s="989" t="s">
        <v>9462</v>
      </c>
      <c r="F1922" s="463"/>
      <c r="G1922" s="916" t="s">
        <v>8775</v>
      </c>
      <c r="H1922" t="s">
        <v>9561</v>
      </c>
      <c r="J1922" t="s">
        <v>7763</v>
      </c>
      <c r="K1922" s="323">
        <v>2E-3</v>
      </c>
      <c r="L1922" s="73" t="str">
        <f t="shared" si="82"/>
        <v>0603</v>
      </c>
      <c r="O1922" s="128">
        <v>510</v>
      </c>
      <c r="P1922" s="162">
        <v>90351</v>
      </c>
      <c r="Q1922" s="295" t="s">
        <v>9562</v>
      </c>
      <c r="R1922" s="325" t="s">
        <v>9563</v>
      </c>
      <c r="T1922" s="73"/>
      <c r="V1922" s="73"/>
    </row>
    <row r="1923" spans="3:29" x14ac:dyDescent="0.35">
      <c r="C1923" s="187"/>
      <c r="D1923" s="463"/>
      <c r="E1923" s="463"/>
      <c r="F1923" s="463" t="s">
        <v>9401</v>
      </c>
      <c r="G1923" s="916" t="s">
        <v>8775</v>
      </c>
      <c r="H1923" t="s">
        <v>8371</v>
      </c>
      <c r="J1923" t="s">
        <v>7763</v>
      </c>
      <c r="K1923" s="323">
        <v>2E-3</v>
      </c>
      <c r="L1923" s="73" t="str">
        <f t="shared" si="82"/>
        <v>0603</v>
      </c>
      <c r="O1923" s="128" t="s">
        <v>7960</v>
      </c>
      <c r="P1923" s="162">
        <v>90422</v>
      </c>
      <c r="Q1923" s="295" t="s">
        <v>8549</v>
      </c>
      <c r="R1923" s="325" t="s">
        <v>8521</v>
      </c>
      <c r="S1923" s="73"/>
      <c r="T1923" s="73"/>
      <c r="U1923" s="73"/>
      <c r="V1923" s="73"/>
    </row>
    <row r="1924" spans="3:29" x14ac:dyDescent="0.35">
      <c r="C1924" s="187"/>
      <c r="D1924" s="463"/>
      <c r="E1924" s="463"/>
      <c r="F1924" s="463" t="s">
        <v>9401</v>
      </c>
      <c r="G1924" s="916" t="s">
        <v>8775</v>
      </c>
      <c r="H1924" t="s">
        <v>8372</v>
      </c>
      <c r="J1924" t="s">
        <v>7763</v>
      </c>
      <c r="K1924" s="323">
        <v>2E-3</v>
      </c>
      <c r="L1924" s="73" t="str">
        <f t="shared" si="82"/>
        <v>0603</v>
      </c>
      <c r="O1924" s="128" t="s">
        <v>7961</v>
      </c>
      <c r="P1924" s="162">
        <v>90439</v>
      </c>
      <c r="Q1924" s="295" t="s">
        <v>8550</v>
      </c>
      <c r="R1924" s="325" t="s">
        <v>8522</v>
      </c>
      <c r="S1924" s="73"/>
      <c r="T1924" s="73"/>
      <c r="U1924" s="73"/>
      <c r="V1924" s="73"/>
    </row>
    <row r="1925" spans="3:29" x14ac:dyDescent="0.35">
      <c r="C1925" s="187"/>
      <c r="D1925" s="463"/>
      <c r="E1925" s="463"/>
      <c r="F1925" s="463" t="s">
        <v>9401</v>
      </c>
      <c r="G1925" s="916" t="s">
        <v>8775</v>
      </c>
      <c r="H1925" t="s">
        <v>8373</v>
      </c>
      <c r="J1925" t="s">
        <v>7763</v>
      </c>
      <c r="K1925" s="323">
        <v>2E-3</v>
      </c>
      <c r="L1925" s="73" t="str">
        <f t="shared" si="82"/>
        <v>0603</v>
      </c>
      <c r="O1925" s="128" t="s">
        <v>8365</v>
      </c>
      <c r="P1925" s="162">
        <v>90550</v>
      </c>
      <c r="Q1925" s="295" t="s">
        <v>8580</v>
      </c>
      <c r="R1925" s="325" t="s">
        <v>8523</v>
      </c>
      <c r="S1925" s="73"/>
      <c r="T1925" s="73"/>
      <c r="U1925" s="73"/>
      <c r="V1925" s="73"/>
      <c r="X1925" t="s">
        <v>8382</v>
      </c>
    </row>
    <row r="1926" spans="3:29" x14ac:dyDescent="0.35">
      <c r="C1926" s="187"/>
      <c r="D1926" s="463"/>
      <c r="E1926" s="463" t="s">
        <v>9400</v>
      </c>
      <c r="F1926" s="463"/>
      <c r="G1926" s="916" t="s">
        <v>8775</v>
      </c>
      <c r="H1926" t="s">
        <v>8811</v>
      </c>
      <c r="J1926" t="s">
        <v>7763</v>
      </c>
      <c r="K1926" s="323">
        <v>2E-3</v>
      </c>
      <c r="L1926" s="73" t="str">
        <f t="shared" si="82"/>
        <v>0603</v>
      </c>
      <c r="N1926" s="1" t="s">
        <v>8808</v>
      </c>
      <c r="O1926" s="128" t="s">
        <v>8809</v>
      </c>
      <c r="P1926" s="162">
        <v>90556</v>
      </c>
      <c r="Q1926" s="295" t="s">
        <v>8810</v>
      </c>
      <c r="R1926" s="325" t="s">
        <v>8807</v>
      </c>
      <c r="S1926" s="73"/>
      <c r="T1926" s="73"/>
      <c r="U1926" s="73"/>
      <c r="V1926" s="73"/>
    </row>
    <row r="1927" spans="3:29" x14ac:dyDescent="0.35">
      <c r="C1927" s="187"/>
      <c r="D1927" s="463"/>
      <c r="E1927" s="463"/>
      <c r="F1927" s="463" t="s">
        <v>9401</v>
      </c>
      <c r="G1927" s="916" t="s">
        <v>8775</v>
      </c>
      <c r="H1927" t="s">
        <v>8374</v>
      </c>
      <c r="J1927" t="s">
        <v>7763</v>
      </c>
      <c r="K1927" s="323">
        <v>2E-3</v>
      </c>
      <c r="L1927" s="73" t="str">
        <f t="shared" si="82"/>
        <v>0603</v>
      </c>
      <c r="O1927" s="128" t="s">
        <v>7781</v>
      </c>
      <c r="P1927" s="162">
        <v>90610</v>
      </c>
      <c r="Q1927" s="295" t="s">
        <v>8551</v>
      </c>
      <c r="R1927" s="325" t="s">
        <v>8524</v>
      </c>
      <c r="S1927" s="73"/>
      <c r="T1927" s="73"/>
      <c r="U1927" s="73"/>
      <c r="V1927" s="73"/>
    </row>
    <row r="1928" spans="3:29" x14ac:dyDescent="0.35">
      <c r="C1928" s="187"/>
      <c r="D1928" s="463"/>
      <c r="E1928" s="463" t="s">
        <v>9400</v>
      </c>
      <c r="F1928" s="463"/>
      <c r="G1928" s="916" t="s">
        <v>8775</v>
      </c>
      <c r="H1928" t="s">
        <v>8375</v>
      </c>
      <c r="J1928" t="s">
        <v>7763</v>
      </c>
      <c r="K1928" s="323">
        <v>2E-3</v>
      </c>
      <c r="L1928" s="73" t="str">
        <f t="shared" si="82"/>
        <v>0603</v>
      </c>
      <c r="O1928" s="128" t="s">
        <v>7975</v>
      </c>
      <c r="P1928" s="162">
        <v>90622</v>
      </c>
      <c r="Q1928" s="295" t="s">
        <v>8552</v>
      </c>
      <c r="R1928" s="325" t="s">
        <v>8525</v>
      </c>
      <c r="S1928" s="73"/>
      <c r="T1928" s="73"/>
      <c r="U1928" s="73"/>
      <c r="V1928" s="73"/>
    </row>
    <row r="1929" spans="3:29" x14ac:dyDescent="0.35">
      <c r="C1929" s="187"/>
      <c r="D1929" s="463"/>
      <c r="E1929" s="463"/>
      <c r="F1929" s="463" t="s">
        <v>9401</v>
      </c>
      <c r="G1929" s="916" t="s">
        <v>8775</v>
      </c>
      <c r="H1929" t="s">
        <v>8376</v>
      </c>
      <c r="J1929" t="s">
        <v>7763</v>
      </c>
      <c r="K1929" s="323">
        <v>2E-3</v>
      </c>
      <c r="L1929" s="73" t="str">
        <f t="shared" si="82"/>
        <v>0603</v>
      </c>
      <c r="O1929" s="128" t="s">
        <v>7837</v>
      </c>
      <c r="P1929" s="162">
        <v>90710</v>
      </c>
      <c r="Q1929" s="295" t="s">
        <v>8553</v>
      </c>
      <c r="R1929" s="325" t="s">
        <v>8526</v>
      </c>
      <c r="S1929" s="73"/>
      <c r="T1929" s="73"/>
      <c r="U1929" s="73"/>
      <c r="V1929" s="73"/>
    </row>
    <row r="1930" spans="3:29" x14ac:dyDescent="0.35">
      <c r="C1930" s="187"/>
      <c r="D1930" s="463"/>
      <c r="E1930" s="463"/>
      <c r="F1930" s="463"/>
      <c r="G1930" s="915"/>
      <c r="K1930" s="185"/>
      <c r="O1930" s="3"/>
      <c r="P1930" s="162"/>
    </row>
    <row r="1931" spans="3:29" x14ac:dyDescent="0.35">
      <c r="C1931" s="187" t="s">
        <v>8000</v>
      </c>
      <c r="D1931" s="463"/>
      <c r="E1931" s="463"/>
      <c r="F1931" s="463" t="s">
        <v>9401</v>
      </c>
      <c r="G1931" s="916" t="s">
        <v>8775</v>
      </c>
      <c r="H1931" t="s">
        <v>8127</v>
      </c>
      <c r="K1931" s="323">
        <v>2.7000000000000001E-3</v>
      </c>
      <c r="L1931" s="319" t="str">
        <f>"0805"</f>
        <v>0805</v>
      </c>
      <c r="N1931" s="1" t="s">
        <v>8124</v>
      </c>
      <c r="O1931" s="128" t="s">
        <v>8125</v>
      </c>
      <c r="P1931" s="162">
        <v>91610</v>
      </c>
      <c r="Q1931" s="295" t="s">
        <v>8554</v>
      </c>
      <c r="R1931" s="325" t="s">
        <v>8527</v>
      </c>
      <c r="X1931" s="325" t="s">
        <v>8126</v>
      </c>
    </row>
    <row r="1932" spans="3:29" x14ac:dyDescent="0.35">
      <c r="C1932" s="155"/>
      <c r="D1932" s="463"/>
      <c r="E1932" s="463" t="s">
        <v>9400</v>
      </c>
      <c r="F1932" s="463"/>
      <c r="G1932" s="916" t="s">
        <v>8775</v>
      </c>
      <c r="H1932" t="s">
        <v>8083</v>
      </c>
      <c r="K1932" s="323">
        <v>2.7000000000000001E-3</v>
      </c>
      <c r="L1932" s="319" t="str">
        <f>"0805"</f>
        <v>0805</v>
      </c>
      <c r="N1932" s="1" t="s">
        <v>8084</v>
      </c>
      <c r="O1932" s="128" t="s">
        <v>8081</v>
      </c>
      <c r="P1932" s="162">
        <v>91633</v>
      </c>
      <c r="Q1932" s="295" t="s">
        <v>8555</v>
      </c>
      <c r="R1932" s="325" t="s">
        <v>8528</v>
      </c>
      <c r="X1932" s="325" t="s">
        <v>8082</v>
      </c>
    </row>
    <row r="1933" spans="3:29" x14ac:dyDescent="0.35">
      <c r="C1933" s="155"/>
      <c r="D1933" s="463"/>
      <c r="E1933" s="463"/>
      <c r="F1933" s="463" t="s">
        <v>9401</v>
      </c>
      <c r="G1933" s="916" t="s">
        <v>8775</v>
      </c>
      <c r="H1933" t="s">
        <v>8079</v>
      </c>
      <c r="K1933" s="323">
        <v>2.7000000000000001E-3</v>
      </c>
      <c r="L1933" s="319" t="str">
        <f>"0805"</f>
        <v>0805</v>
      </c>
      <c r="N1933" s="1" t="s">
        <v>8077</v>
      </c>
      <c r="O1933" s="128" t="s">
        <v>8078</v>
      </c>
      <c r="P1933" s="162">
        <v>91710</v>
      </c>
      <c r="Q1933" s="295" t="s">
        <v>8556</v>
      </c>
      <c r="R1933" s="325" t="s">
        <v>8529</v>
      </c>
      <c r="X1933" s="325" t="s">
        <v>8080</v>
      </c>
    </row>
    <row r="1934" spans="3:29" x14ac:dyDescent="0.35">
      <c r="C1934" s="665"/>
      <c r="D1934" s="463"/>
      <c r="E1934" s="463" t="s">
        <v>9400</v>
      </c>
      <c r="F1934" s="463"/>
      <c r="G1934" s="916" t="s">
        <v>8775</v>
      </c>
      <c r="H1934" t="s">
        <v>8074</v>
      </c>
      <c r="J1934" t="s">
        <v>7763</v>
      </c>
      <c r="K1934" s="323">
        <v>2.7E-2</v>
      </c>
      <c r="L1934" s="319" t="str">
        <f>"0805"</f>
        <v>0805</v>
      </c>
      <c r="N1934" s="1" t="s">
        <v>8073</v>
      </c>
      <c r="O1934" s="128" t="s">
        <v>8075</v>
      </c>
      <c r="P1934" s="162">
        <v>91822</v>
      </c>
      <c r="Q1934" s="295" t="s">
        <v>8557</v>
      </c>
      <c r="R1934" s="325" t="s">
        <v>8530</v>
      </c>
      <c r="X1934" s="325" t="s">
        <v>8087</v>
      </c>
      <c r="AC1934" t="s">
        <v>8076</v>
      </c>
    </row>
    <row r="1935" spans="3:29" x14ac:dyDescent="0.35">
      <c r="C1935" s="665"/>
      <c r="D1935" s="463"/>
      <c r="E1935" s="463"/>
      <c r="F1935" s="463"/>
      <c r="G1935" s="915"/>
      <c r="K1935" s="185"/>
      <c r="O1935" s="128"/>
      <c r="P1935" s="162"/>
      <c r="S1935" t="s">
        <v>0</v>
      </c>
    </row>
    <row r="1936" spans="3:29" x14ac:dyDescent="0.35">
      <c r="C1936" s="187" t="s">
        <v>8020</v>
      </c>
      <c r="D1936" s="463"/>
      <c r="E1936" s="463"/>
      <c r="F1936" s="463"/>
      <c r="G1936" s="915"/>
      <c r="Q1936" s="295" t="str">
        <f t="shared" ref="Q1936" si="83">CONCATENATE("Ma2-",TEXT(P1936,"##,###"))</f>
        <v>Ma2-</v>
      </c>
    </row>
    <row r="1937" spans="2:24" x14ac:dyDescent="0.35">
      <c r="C1937" s="155"/>
      <c r="D1937" s="463"/>
      <c r="E1937" s="463" t="s">
        <v>9408</v>
      </c>
      <c r="F1937" s="463"/>
      <c r="G1937" s="916" t="s">
        <v>8775</v>
      </c>
      <c r="H1937" t="s">
        <v>8030</v>
      </c>
      <c r="J1937" t="s">
        <v>7763</v>
      </c>
      <c r="K1937" s="323">
        <v>5.0000000000000001E-3</v>
      </c>
      <c r="L1937" s="507">
        <v>1206</v>
      </c>
      <c r="N1937" s="1" t="s">
        <v>8123</v>
      </c>
      <c r="O1937" s="128" t="s">
        <v>8029</v>
      </c>
      <c r="P1937" s="162">
        <v>92115</v>
      </c>
      <c r="Q1937" s="295" t="s">
        <v>8558</v>
      </c>
      <c r="R1937" s="325" t="s">
        <v>8531</v>
      </c>
      <c r="X1937" s="325" t="s">
        <v>8086</v>
      </c>
    </row>
    <row r="1938" spans="2:24" x14ac:dyDescent="0.35">
      <c r="C1938" s="155"/>
      <c r="D1938" s="463"/>
      <c r="E1938" s="989" t="s">
        <v>9462</v>
      </c>
      <c r="F1938" s="463"/>
      <c r="G1938" s="916" t="s">
        <v>8775</v>
      </c>
      <c r="H1938" s="177" t="s">
        <v>9466</v>
      </c>
      <c r="J1938" t="s">
        <v>7763</v>
      </c>
      <c r="K1938" s="323">
        <v>5.0000000000000001E-3</v>
      </c>
      <c r="L1938" s="507">
        <v>1206</v>
      </c>
      <c r="N1938" s="1" t="s">
        <v>9467</v>
      </c>
      <c r="O1938" s="128" t="s">
        <v>9465</v>
      </c>
      <c r="P1938" s="162">
        <v>92312</v>
      </c>
      <c r="Q1938" s="295" t="s">
        <v>9464</v>
      </c>
      <c r="R1938" s="325" t="s">
        <v>9463</v>
      </c>
      <c r="X1938" s="325"/>
    </row>
    <row r="1939" spans="2:24" x14ac:dyDescent="0.35">
      <c r="C1939" s="155"/>
      <c r="D1939" s="463"/>
      <c r="E1939" s="463" t="s">
        <v>9410</v>
      </c>
      <c r="F1939" s="463"/>
      <c r="G1939" s="916" t="s">
        <v>8775</v>
      </c>
      <c r="H1939" t="s">
        <v>8088</v>
      </c>
      <c r="J1939" t="s">
        <v>7763</v>
      </c>
      <c r="K1939" s="323">
        <v>4.0000000000000001E-3</v>
      </c>
      <c r="L1939" s="507">
        <v>1206</v>
      </c>
      <c r="N1939" s="1" t="s">
        <v>8089</v>
      </c>
      <c r="O1939" s="128" t="s">
        <v>8085</v>
      </c>
      <c r="P1939" s="162">
        <v>92533</v>
      </c>
      <c r="Q1939" s="295" t="s">
        <v>8559</v>
      </c>
      <c r="R1939" s="325" t="s">
        <v>8532</v>
      </c>
      <c r="X1939" s="325" t="s">
        <v>8090</v>
      </c>
    </row>
    <row r="1940" spans="2:24" x14ac:dyDescent="0.35">
      <c r="C1940" s="155"/>
      <c r="D1940" s="463"/>
      <c r="E1940" s="463"/>
      <c r="F1940" s="463" t="s">
        <v>9401</v>
      </c>
      <c r="G1940" s="916" t="s">
        <v>8775</v>
      </c>
      <c r="H1940" t="s">
        <v>8132</v>
      </c>
      <c r="J1940" t="s">
        <v>7763</v>
      </c>
      <c r="K1940" s="323">
        <v>4.0000000000000001E-3</v>
      </c>
      <c r="L1940" s="507">
        <v>1206</v>
      </c>
      <c r="N1940" s="1" t="s">
        <v>8130</v>
      </c>
      <c r="O1940" s="128" t="s">
        <v>8125</v>
      </c>
      <c r="P1940" s="162">
        <v>92610</v>
      </c>
      <c r="Q1940" s="295" t="s">
        <v>8560</v>
      </c>
      <c r="R1940" s="325" t="s">
        <v>8533</v>
      </c>
      <c r="X1940" s="325" t="s">
        <v>8131</v>
      </c>
    </row>
    <row r="1941" spans="2:24" x14ac:dyDescent="0.35">
      <c r="C1941" s="155"/>
      <c r="D1941" s="463"/>
      <c r="E1941" s="463"/>
      <c r="F1941" s="463"/>
      <c r="G1941" s="915"/>
      <c r="K1941" s="323"/>
      <c r="L1941" s="507"/>
      <c r="N1941" s="1"/>
      <c r="O1941" s="128"/>
      <c r="P1941" s="162"/>
      <c r="R1941" s="3"/>
    </row>
    <row r="1942" spans="2:24" x14ac:dyDescent="0.35">
      <c r="C1942" s="187" t="s">
        <v>8018</v>
      </c>
      <c r="D1942" s="463"/>
      <c r="E1942" s="463"/>
      <c r="F1942" s="463"/>
      <c r="G1942" s="915"/>
      <c r="K1942" s="323"/>
      <c r="L1942" s="507"/>
      <c r="N1942" s="1"/>
      <c r="O1942" s="128"/>
      <c r="P1942" s="162"/>
      <c r="R1942" s="325"/>
    </row>
    <row r="1943" spans="2:24" x14ac:dyDescent="0.35">
      <c r="C1943" s="155"/>
      <c r="D1943" s="463"/>
      <c r="E1943" s="463" t="s">
        <v>9400</v>
      </c>
      <c r="F1943" s="463"/>
      <c r="G1943" s="916" t="s">
        <v>8775</v>
      </c>
      <c r="H1943" t="s">
        <v>8008</v>
      </c>
      <c r="J1943" t="s">
        <v>8006</v>
      </c>
      <c r="K1943" s="323">
        <v>8.0000000000000002E-3</v>
      </c>
      <c r="L1943" s="507">
        <v>1206</v>
      </c>
      <c r="N1943" s="1" t="s">
        <v>8007</v>
      </c>
      <c r="O1943" s="128" t="s">
        <v>8009</v>
      </c>
      <c r="P1943" s="162">
        <v>92715</v>
      </c>
      <c r="Q1943" s="295" t="s">
        <v>8561</v>
      </c>
      <c r="R1943" s="325" t="s">
        <v>8534</v>
      </c>
      <c r="X1943" s="325" t="s">
        <v>8385</v>
      </c>
    </row>
    <row r="1944" spans="2:24" x14ac:dyDescent="0.35">
      <c r="C1944" s="155"/>
      <c r="D1944" s="463"/>
      <c r="E1944" s="463"/>
      <c r="F1944" s="463"/>
      <c r="G1944" s="915"/>
      <c r="K1944" s="323"/>
      <c r="L1944" s="507"/>
      <c r="N1944" s="1"/>
      <c r="O1944" s="128"/>
      <c r="P1944" s="162"/>
      <c r="R1944" s="325"/>
      <c r="X1944" s="325"/>
    </row>
    <row r="1945" spans="2:24" x14ac:dyDescent="0.35">
      <c r="B1945" s="83" t="s">
        <v>7766</v>
      </c>
      <c r="C1945" s="187" t="s">
        <v>8584</v>
      </c>
      <c r="D1945" s="463"/>
      <c r="E1945" s="463" t="s">
        <v>9408</v>
      </c>
      <c r="F1945" s="463"/>
      <c r="G1945" s="916" t="s">
        <v>8775</v>
      </c>
      <c r="H1945" t="s">
        <v>7880</v>
      </c>
      <c r="J1945" t="s">
        <v>7786</v>
      </c>
      <c r="K1945" s="323">
        <v>0.01</v>
      </c>
      <c r="L1945" s="73" t="str">
        <f t="shared" ref="L1945:L1946" si="84">"0603"</f>
        <v>0603</v>
      </c>
      <c r="N1945" s="1" t="s">
        <v>7785</v>
      </c>
      <c r="O1945" s="128" t="s">
        <v>8010</v>
      </c>
      <c r="P1945" s="162">
        <v>93022</v>
      </c>
      <c r="Q1945" s="295" t="s">
        <v>8582</v>
      </c>
      <c r="R1945" s="325" t="s">
        <v>8825</v>
      </c>
      <c r="V1945" s="12">
        <f>SQRT(0.06/0.22)</f>
        <v>0.5222329678670935</v>
      </c>
      <c r="X1945" s="325" t="s">
        <v>7886</v>
      </c>
    </row>
    <row r="1946" spans="2:24" x14ac:dyDescent="0.35">
      <c r="B1946" s="83" t="s">
        <v>8027</v>
      </c>
      <c r="C1946" s="187"/>
      <c r="D1946" s="463"/>
      <c r="E1946" s="463" t="s">
        <v>9408</v>
      </c>
      <c r="F1946" s="463"/>
      <c r="G1946" s="915"/>
      <c r="H1946" t="s">
        <v>7881</v>
      </c>
      <c r="J1946" t="s">
        <v>7786</v>
      </c>
      <c r="K1946" s="323">
        <v>0.01</v>
      </c>
      <c r="L1946" s="73" t="str">
        <f t="shared" si="84"/>
        <v>0603</v>
      </c>
      <c r="N1946" s="1" t="s">
        <v>7785</v>
      </c>
      <c r="O1946" s="128" t="s">
        <v>8011</v>
      </c>
      <c r="P1946" s="162">
        <v>93033</v>
      </c>
      <c r="Q1946" s="295" t="s">
        <v>8581</v>
      </c>
      <c r="R1946" s="325" t="s">
        <v>8826</v>
      </c>
      <c r="V1946" s="12">
        <f>SQRT(0.06/0.33)</f>
        <v>0.42640143271122083</v>
      </c>
      <c r="X1946" s="325" t="s">
        <v>7887</v>
      </c>
    </row>
    <row r="1947" spans="2:24" x14ac:dyDescent="0.35">
      <c r="B1947" s="83" t="s">
        <v>4365</v>
      </c>
      <c r="C1947" s="187"/>
      <c r="D1947" s="463"/>
      <c r="E1947" s="463"/>
      <c r="F1947" s="463"/>
      <c r="G1947" s="915"/>
      <c r="K1947" s="323"/>
      <c r="N1947" s="1"/>
      <c r="O1947" s="128"/>
      <c r="P1947" s="162"/>
      <c r="R1947" s="325"/>
      <c r="X1947" s="325"/>
    </row>
    <row r="1948" spans="2:24" x14ac:dyDescent="0.35">
      <c r="C1948" s="187" t="s">
        <v>8585</v>
      </c>
      <c r="D1948" s="463"/>
      <c r="E1948" s="463" t="s">
        <v>9400</v>
      </c>
      <c r="F1948" s="463"/>
      <c r="G1948" s="916" t="s">
        <v>8775</v>
      </c>
      <c r="H1948" t="s">
        <v>7889</v>
      </c>
      <c r="J1948" t="s">
        <v>7885</v>
      </c>
      <c r="K1948" s="323">
        <v>0.05</v>
      </c>
      <c r="L1948" s="319" t="str">
        <f>"0805"</f>
        <v>0805</v>
      </c>
      <c r="N1948" s="1" t="s">
        <v>7884</v>
      </c>
      <c r="O1948" s="128" t="s">
        <v>8022</v>
      </c>
      <c r="P1948" s="162">
        <v>94051</v>
      </c>
      <c r="Q1948" s="295" t="s">
        <v>8562</v>
      </c>
      <c r="R1948" s="325" t="s">
        <v>8827</v>
      </c>
      <c r="V1948" s="12">
        <f>SQRT(0.12/0.005)</f>
        <v>4.8989794855663558</v>
      </c>
      <c r="X1948" s="325" t="s">
        <v>8023</v>
      </c>
    </row>
    <row r="1949" spans="2:24" x14ac:dyDescent="0.35">
      <c r="C1949" s="187"/>
      <c r="D1949" s="463"/>
      <c r="E1949" s="463" t="s">
        <v>9408</v>
      </c>
      <c r="F1949" s="463"/>
      <c r="G1949" s="915"/>
      <c r="H1949" t="s">
        <v>7882</v>
      </c>
      <c r="J1949" t="s">
        <v>7786</v>
      </c>
      <c r="K1949" s="323">
        <v>0.02</v>
      </c>
      <c r="L1949" s="319" t="str">
        <f>"0805"</f>
        <v>0805</v>
      </c>
      <c r="N1949" s="1" t="s">
        <v>7879</v>
      </c>
      <c r="O1949" s="128" t="s">
        <v>8021</v>
      </c>
      <c r="P1949" s="162">
        <v>94010</v>
      </c>
      <c r="Q1949" s="295" t="s">
        <v>8583</v>
      </c>
      <c r="R1949" s="325" t="s">
        <v>8828</v>
      </c>
      <c r="V1949" s="12">
        <f>SQRT(0.12/0.1)</f>
        <v>1.0954451150103321</v>
      </c>
      <c r="X1949" s="325" t="s">
        <v>8024</v>
      </c>
    </row>
    <row r="1950" spans="2:24" x14ac:dyDescent="0.35">
      <c r="C1950" s="187"/>
      <c r="D1950" s="463"/>
      <c r="E1950" s="463"/>
      <c r="F1950" s="463"/>
      <c r="G1950" s="915"/>
      <c r="K1950" s="323"/>
      <c r="L1950" s="319"/>
      <c r="N1950" s="1"/>
      <c r="O1950" s="128"/>
      <c r="P1950" s="162"/>
      <c r="R1950" s="325"/>
      <c r="X1950" s="325"/>
    </row>
    <row r="1951" spans="2:24" x14ac:dyDescent="0.35">
      <c r="C1951" s="187" t="s">
        <v>9536</v>
      </c>
      <c r="D1951" s="463"/>
      <c r="E1951" s="463" t="s">
        <v>9408</v>
      </c>
      <c r="F1951" s="463"/>
      <c r="G1951" s="916" t="s">
        <v>8775</v>
      </c>
      <c r="H1951" t="s">
        <v>9025</v>
      </c>
      <c r="J1951" t="s">
        <v>7763</v>
      </c>
      <c r="K1951" s="100">
        <v>0.1</v>
      </c>
      <c r="L1951">
        <v>2512</v>
      </c>
      <c r="N1951" s="1" t="s">
        <v>9023</v>
      </c>
      <c r="O1951" s="128" t="s">
        <v>8011</v>
      </c>
      <c r="P1951" s="162">
        <v>95033</v>
      </c>
      <c r="Q1951" s="295" t="s">
        <v>9024</v>
      </c>
      <c r="R1951" s="325" t="s">
        <v>9534</v>
      </c>
      <c r="X1951" s="325"/>
    </row>
    <row r="1952" spans="2:24" x14ac:dyDescent="0.35">
      <c r="C1952" s="187"/>
      <c r="D1952" s="463"/>
      <c r="E1952" s="989" t="s">
        <v>9462</v>
      </c>
      <c r="F1952" s="463"/>
      <c r="G1952" s="916" t="s">
        <v>8775</v>
      </c>
      <c r="H1952" t="s">
        <v>9540</v>
      </c>
      <c r="J1952" t="s">
        <v>7763</v>
      </c>
      <c r="K1952" s="323">
        <v>3.5999999999999997E-2</v>
      </c>
      <c r="L1952">
        <v>2512</v>
      </c>
      <c r="N1952" s="1" t="s">
        <v>9539</v>
      </c>
      <c r="O1952" s="128" t="s">
        <v>9535</v>
      </c>
      <c r="P1952" s="162">
        <v>95122</v>
      </c>
      <c r="Q1952" s="295" t="s">
        <v>9537</v>
      </c>
      <c r="R1952" s="325" t="s">
        <v>9538</v>
      </c>
      <c r="X1952" s="325"/>
    </row>
    <row r="1953" spans="2:24" x14ac:dyDescent="0.35">
      <c r="C1953" s="187"/>
      <c r="D1953" s="463"/>
      <c r="E1953" s="463"/>
      <c r="F1953" s="463"/>
      <c r="G1953" s="915"/>
      <c r="K1953" s="323"/>
      <c r="L1953" s="319"/>
      <c r="N1953" s="1"/>
      <c r="O1953" s="128"/>
      <c r="P1953" s="162"/>
      <c r="R1953" s="325"/>
      <c r="X1953" s="325"/>
    </row>
    <row r="1954" spans="2:24" x14ac:dyDescent="0.35">
      <c r="C1954" s="187" t="s">
        <v>8586</v>
      </c>
      <c r="D1954" s="463"/>
      <c r="E1954" s="463" t="s">
        <v>9411</v>
      </c>
      <c r="F1954" s="463"/>
      <c r="G1954" s="916" t="s">
        <v>8775</v>
      </c>
      <c r="H1954" t="s">
        <v>7883</v>
      </c>
      <c r="J1954" t="s">
        <v>8017</v>
      </c>
      <c r="K1954" s="100">
        <v>0.12</v>
      </c>
      <c r="L1954">
        <v>2512</v>
      </c>
      <c r="N1954" s="1" t="s">
        <v>2989</v>
      </c>
      <c r="O1954" s="128" t="s">
        <v>8012</v>
      </c>
      <c r="P1954" s="162">
        <v>95011</v>
      </c>
      <c r="Q1954" s="295" t="s">
        <v>8563</v>
      </c>
      <c r="R1954" s="325" t="s">
        <v>8829</v>
      </c>
      <c r="V1954" s="12">
        <f>SQRT(3/0.001)</f>
        <v>54.772255750516614</v>
      </c>
      <c r="X1954" s="325" t="s">
        <v>7888</v>
      </c>
    </row>
    <row r="1955" spans="2:24" x14ac:dyDescent="0.35">
      <c r="C1955" s="187"/>
      <c r="D1955" s="463"/>
      <c r="E1955" s="463"/>
      <c r="F1955" s="463"/>
      <c r="G1955" s="915"/>
      <c r="K1955" s="100"/>
      <c r="N1955" s="1"/>
      <c r="O1955" s="128"/>
      <c r="P1955" s="162"/>
      <c r="R1955" s="325"/>
      <c r="X1955" s="325"/>
    </row>
    <row r="1956" spans="2:24" x14ac:dyDescent="0.35">
      <c r="B1956" s="83" t="s">
        <v>8386</v>
      </c>
      <c r="C1956" s="187"/>
      <c r="D1956" s="463"/>
      <c r="E1956" s="463"/>
      <c r="F1956" s="463" t="s">
        <v>9412</v>
      </c>
      <c r="G1956" s="916" t="s">
        <v>8775</v>
      </c>
      <c r="H1956" t="s">
        <v>8835</v>
      </c>
      <c r="J1956" t="s">
        <v>7763</v>
      </c>
      <c r="K1956" s="323">
        <v>1.5E-3</v>
      </c>
      <c r="L1956" s="73" t="str">
        <f t="shared" si="82"/>
        <v>0603</v>
      </c>
      <c r="N1956" s="1"/>
      <c r="O1956" s="128" t="s">
        <v>8026</v>
      </c>
      <c r="P1956" s="162">
        <v>90000</v>
      </c>
      <c r="Q1956" s="295" t="s">
        <v>8564</v>
      </c>
      <c r="R1956" s="325" t="s">
        <v>8837</v>
      </c>
    </row>
    <row r="1957" spans="2:24" x14ac:dyDescent="0.35">
      <c r="C1957" s="187"/>
      <c r="D1957" s="463"/>
      <c r="E1957" s="463"/>
      <c r="F1957" s="463" t="s">
        <v>9412</v>
      </c>
      <c r="G1957" s="916" t="s">
        <v>8775</v>
      </c>
      <c r="H1957" t="s">
        <v>8836</v>
      </c>
      <c r="J1957" t="s">
        <v>7763</v>
      </c>
      <c r="K1957" s="323">
        <v>2.8E-3</v>
      </c>
      <c r="L1957" s="507">
        <v>1206</v>
      </c>
      <c r="N1957" s="1" t="s">
        <v>8025</v>
      </c>
      <c r="O1957" s="128" t="s">
        <v>8026</v>
      </c>
      <c r="P1957" s="162">
        <v>92000</v>
      </c>
      <c r="Q1957" s="295" t="s">
        <v>8565</v>
      </c>
      <c r="R1957" s="325" t="s">
        <v>8838</v>
      </c>
      <c r="X1957" s="325"/>
    </row>
    <row r="1958" spans="2:24" x14ac:dyDescent="0.35">
      <c r="C1958" s="665"/>
      <c r="D1958" s="463"/>
      <c r="E1958" s="463"/>
      <c r="F1958" s="463"/>
      <c r="G1958" s="915"/>
      <c r="K1958" s="323"/>
      <c r="N1958" s="1"/>
      <c r="O1958" s="128"/>
      <c r="P1958" s="162"/>
      <c r="Q1958" s="295" t="str">
        <f t="shared" ref="Q1958" si="85">CONCATENATE("Ma2-",TEXT(P1958,"##,###"))</f>
        <v>Ma2-</v>
      </c>
      <c r="R1958" s="325"/>
    </row>
    <row r="1959" spans="2:24" x14ac:dyDescent="0.35">
      <c r="B1959" s="83" t="s">
        <v>7766</v>
      </c>
      <c r="C1959" s="187" t="s">
        <v>8587</v>
      </c>
      <c r="D1959" s="463"/>
      <c r="E1959" s="463" t="s">
        <v>9408</v>
      </c>
      <c r="F1959" s="463"/>
      <c r="G1959" s="916" t="s">
        <v>8775</v>
      </c>
      <c r="H1959" s="177" t="s">
        <v>8602</v>
      </c>
      <c r="J1959" t="s">
        <v>7763</v>
      </c>
      <c r="K1959" s="323">
        <v>6.0000000000000001E-3</v>
      </c>
      <c r="L1959" t="s">
        <v>8617</v>
      </c>
      <c r="N1959" s="1" t="s">
        <v>8616</v>
      </c>
      <c r="O1959" s="128">
        <v>2.2000000000000002</v>
      </c>
      <c r="P1959" s="162">
        <v>96122</v>
      </c>
      <c r="Q1959" s="295" t="s">
        <v>8566</v>
      </c>
      <c r="R1959" s="325" t="s">
        <v>8588</v>
      </c>
    </row>
    <row r="1960" spans="2:24" x14ac:dyDescent="0.35">
      <c r="B1960" s="83" t="s">
        <v>7764</v>
      </c>
      <c r="C1960" s="187"/>
      <c r="D1960" s="463"/>
      <c r="E1960" s="463"/>
      <c r="F1960" s="463" t="s">
        <v>9413</v>
      </c>
      <c r="G1960" s="916" t="s">
        <v>8775</v>
      </c>
      <c r="H1960" s="177" t="s">
        <v>8603</v>
      </c>
      <c r="J1960" t="s">
        <v>7763</v>
      </c>
      <c r="K1960" s="323">
        <v>6.0000000000000001E-3</v>
      </c>
      <c r="L1960" t="s">
        <v>8617</v>
      </c>
      <c r="N1960" s="1"/>
      <c r="O1960" s="128">
        <v>3.3</v>
      </c>
      <c r="P1960" s="162">
        <v>96133</v>
      </c>
      <c r="Q1960" s="295" t="s">
        <v>8567</v>
      </c>
      <c r="R1960" s="325" t="s">
        <v>8589</v>
      </c>
    </row>
    <row r="1961" spans="2:24" x14ac:dyDescent="0.35">
      <c r="B1961" s="83" t="s">
        <v>4365</v>
      </c>
      <c r="C1961" s="155"/>
      <c r="D1961" s="463"/>
      <c r="E1961" s="463"/>
      <c r="F1961" s="463" t="s">
        <v>9413</v>
      </c>
      <c r="G1961" s="916" t="s">
        <v>8775</v>
      </c>
      <c r="H1961" s="177" t="s">
        <v>8604</v>
      </c>
      <c r="J1961" t="s">
        <v>7763</v>
      </c>
      <c r="K1961" s="323">
        <v>6.0000000000000001E-3</v>
      </c>
      <c r="L1961" t="s">
        <v>8617</v>
      </c>
      <c r="N1961" s="1"/>
      <c r="O1961" s="128">
        <v>100</v>
      </c>
      <c r="P1961" s="162">
        <v>96310</v>
      </c>
      <c r="Q1961" s="295" t="s">
        <v>8568</v>
      </c>
      <c r="R1961" s="325" t="s">
        <v>8590</v>
      </c>
    </row>
    <row r="1962" spans="2:24" x14ac:dyDescent="0.35">
      <c r="B1962" s="83" t="s">
        <v>7769</v>
      </c>
      <c r="C1962" s="187"/>
      <c r="D1962" s="463"/>
      <c r="E1962" s="463" t="s">
        <v>9400</v>
      </c>
      <c r="F1962" s="463"/>
      <c r="G1962" s="916" t="s">
        <v>8775</v>
      </c>
      <c r="H1962" s="177" t="s">
        <v>9046</v>
      </c>
      <c r="J1962" t="s">
        <v>7763</v>
      </c>
      <c r="K1962" s="323">
        <v>6.0000000000000001E-3</v>
      </c>
      <c r="L1962" t="s">
        <v>8617</v>
      </c>
      <c r="N1962" s="1"/>
      <c r="O1962" s="128">
        <v>330</v>
      </c>
      <c r="P1962" s="162">
        <v>96333</v>
      </c>
      <c r="Q1962" s="295" t="s">
        <v>9044</v>
      </c>
      <c r="R1962" s="325" t="s">
        <v>9045</v>
      </c>
    </row>
    <row r="1963" spans="2:24" x14ac:dyDescent="0.35">
      <c r="B1963" s="83" t="s">
        <v>7769</v>
      </c>
      <c r="C1963" s="187"/>
      <c r="D1963" s="463"/>
      <c r="E1963" s="463" t="s">
        <v>9400</v>
      </c>
      <c r="F1963" s="463"/>
      <c r="G1963" s="916" t="s">
        <v>8775</v>
      </c>
      <c r="H1963" s="177" t="s">
        <v>8605</v>
      </c>
      <c r="J1963" t="s">
        <v>7763</v>
      </c>
      <c r="K1963" s="323">
        <v>6.0000000000000001E-3</v>
      </c>
      <c r="L1963" t="s">
        <v>8617</v>
      </c>
      <c r="N1963" s="1"/>
      <c r="O1963" s="128">
        <v>750</v>
      </c>
      <c r="P1963" s="162">
        <v>96375</v>
      </c>
      <c r="Q1963" s="295" t="s">
        <v>8569</v>
      </c>
      <c r="R1963" s="325" t="s">
        <v>8591</v>
      </c>
    </row>
    <row r="1964" spans="2:24" x14ac:dyDescent="0.35">
      <c r="C1964" s="187"/>
      <c r="D1964" s="463"/>
      <c r="E1964" s="463"/>
      <c r="F1964" s="463" t="s">
        <v>9413</v>
      </c>
      <c r="G1964" s="916" t="s">
        <v>8775</v>
      </c>
      <c r="H1964" s="177" t="s">
        <v>8606</v>
      </c>
      <c r="J1964" t="s">
        <v>7763</v>
      </c>
      <c r="K1964" s="323">
        <v>6.0000000000000001E-3</v>
      </c>
      <c r="L1964" t="s">
        <v>8617</v>
      </c>
      <c r="N1964" s="1"/>
      <c r="O1964" t="s">
        <v>7738</v>
      </c>
      <c r="P1964" s="162">
        <v>96410</v>
      </c>
      <c r="Q1964" s="295" t="s">
        <v>8570</v>
      </c>
      <c r="R1964" s="325" t="s">
        <v>8592</v>
      </c>
    </row>
    <row r="1965" spans="2:24" x14ac:dyDescent="0.35">
      <c r="C1965" s="187"/>
      <c r="D1965" s="463"/>
      <c r="E1965" s="463"/>
      <c r="F1965" s="463" t="s">
        <v>9413</v>
      </c>
      <c r="G1965" s="916" t="s">
        <v>8775</v>
      </c>
      <c r="H1965" s="177" t="s">
        <v>8607</v>
      </c>
      <c r="J1965" t="s">
        <v>7763</v>
      </c>
      <c r="K1965" s="323">
        <v>6.0000000000000001E-3</v>
      </c>
      <c r="L1965" t="s">
        <v>8617</v>
      </c>
      <c r="N1965" s="1"/>
      <c r="O1965" t="s">
        <v>7961</v>
      </c>
      <c r="P1965" s="162">
        <v>96439</v>
      </c>
      <c r="Q1965" s="295" t="s">
        <v>8571</v>
      </c>
      <c r="R1965" s="325" t="s">
        <v>8593</v>
      </c>
    </row>
    <row r="1966" spans="2:24" x14ac:dyDescent="0.35">
      <c r="C1966" s="187"/>
      <c r="D1966" s="463"/>
      <c r="E1966" s="463" t="s">
        <v>9400</v>
      </c>
      <c r="F1966" s="463"/>
      <c r="G1966" s="916" t="s">
        <v>8775</v>
      </c>
      <c r="H1966" s="177" t="s">
        <v>8608</v>
      </c>
      <c r="J1966" t="s">
        <v>7763</v>
      </c>
      <c r="K1966" s="323">
        <v>6.0000000000000001E-3</v>
      </c>
      <c r="L1966" t="s">
        <v>8617</v>
      </c>
      <c r="N1966" s="1"/>
      <c r="O1966" t="s">
        <v>7771</v>
      </c>
      <c r="P1966" s="162">
        <v>96447</v>
      </c>
      <c r="Q1966" s="295" t="s">
        <v>8572</v>
      </c>
      <c r="R1966" s="325" t="s">
        <v>8594</v>
      </c>
    </row>
    <row r="1967" spans="2:24" x14ac:dyDescent="0.35">
      <c r="C1967" s="187"/>
      <c r="D1967" s="463"/>
      <c r="E1967" s="463"/>
      <c r="F1967" s="463" t="s">
        <v>9413</v>
      </c>
      <c r="G1967" s="916" t="s">
        <v>8775</v>
      </c>
      <c r="H1967" s="177" t="s">
        <v>8609</v>
      </c>
      <c r="J1967" t="s">
        <v>7763</v>
      </c>
      <c r="K1967" s="323">
        <v>6.0000000000000001E-3</v>
      </c>
      <c r="L1967" t="s">
        <v>8617</v>
      </c>
      <c r="N1967" s="1"/>
      <c r="O1967" t="s">
        <v>7737</v>
      </c>
      <c r="P1967" s="162">
        <v>96510</v>
      </c>
      <c r="Q1967" s="295" t="s">
        <v>8573</v>
      </c>
      <c r="R1967" s="325" t="s">
        <v>8595</v>
      </c>
    </row>
    <row r="1968" spans="2:24" x14ac:dyDescent="0.35">
      <c r="C1968" s="187"/>
      <c r="D1968" s="463"/>
      <c r="E1968" s="463" t="s">
        <v>9400</v>
      </c>
      <c r="F1968" s="463"/>
      <c r="G1968" s="916" t="s">
        <v>8775</v>
      </c>
      <c r="H1968" s="177" t="s">
        <v>8610</v>
      </c>
      <c r="J1968" t="s">
        <v>7763</v>
      </c>
      <c r="K1968" s="323">
        <v>6.0000000000000001E-3</v>
      </c>
      <c r="L1968" t="s">
        <v>8617</v>
      </c>
      <c r="N1968" s="1"/>
      <c r="O1968" t="s">
        <v>8129</v>
      </c>
      <c r="P1968" s="162">
        <v>96522</v>
      </c>
      <c r="Q1968" s="295" t="s">
        <v>8574</v>
      </c>
      <c r="R1968" s="325" t="s">
        <v>8596</v>
      </c>
    </row>
    <row r="1969" spans="1:18" x14ac:dyDescent="0.35">
      <c r="C1969" s="187"/>
      <c r="D1969" s="463"/>
      <c r="E1969" s="463"/>
      <c r="F1969" s="463" t="s">
        <v>9413</v>
      </c>
      <c r="G1969" s="916" t="s">
        <v>8775</v>
      </c>
      <c r="H1969" s="177" t="s">
        <v>8611</v>
      </c>
      <c r="J1969" t="s">
        <v>7763</v>
      </c>
      <c r="K1969" s="323">
        <v>6.0000000000000001E-3</v>
      </c>
      <c r="L1969" t="s">
        <v>8617</v>
      </c>
      <c r="N1969" s="1"/>
      <c r="O1969" t="s">
        <v>7734</v>
      </c>
      <c r="P1969" s="162">
        <v>96533</v>
      </c>
      <c r="Q1969" s="295" t="s">
        <v>8575</v>
      </c>
      <c r="R1969" s="325" t="s">
        <v>8597</v>
      </c>
    </row>
    <row r="1970" spans="1:18" x14ac:dyDescent="0.35">
      <c r="C1970" s="187"/>
      <c r="D1970" s="463"/>
      <c r="E1970" s="463" t="s">
        <v>9400</v>
      </c>
      <c r="F1970" s="463"/>
      <c r="G1970" s="916" t="s">
        <v>8775</v>
      </c>
      <c r="H1970" s="177" t="s">
        <v>8612</v>
      </c>
      <c r="J1970" t="s">
        <v>7763</v>
      </c>
      <c r="K1970" s="323">
        <v>6.0000000000000001E-3</v>
      </c>
      <c r="L1970" t="s">
        <v>8617</v>
      </c>
      <c r="N1970" s="1"/>
      <c r="O1970" t="s">
        <v>8128</v>
      </c>
      <c r="P1970" s="162">
        <v>96547</v>
      </c>
      <c r="Q1970" s="295" t="s">
        <v>8576</v>
      </c>
      <c r="R1970" s="325" t="s">
        <v>8598</v>
      </c>
    </row>
    <row r="1971" spans="1:18" x14ac:dyDescent="0.35">
      <c r="C1971" s="187"/>
      <c r="D1971" s="463"/>
      <c r="E1971" s="463"/>
      <c r="F1971" s="463" t="s">
        <v>9413</v>
      </c>
      <c r="G1971" s="916" t="s">
        <v>8775</v>
      </c>
      <c r="H1971" s="177" t="s">
        <v>8613</v>
      </c>
      <c r="J1971" t="s">
        <v>7763</v>
      </c>
      <c r="K1971" s="323">
        <v>6.0000000000000001E-3</v>
      </c>
      <c r="L1971" t="s">
        <v>8617</v>
      </c>
      <c r="N1971" s="1"/>
      <c r="O1971" t="s">
        <v>7824</v>
      </c>
      <c r="P1971" s="162">
        <v>96610</v>
      </c>
      <c r="Q1971" s="295" t="s">
        <v>8577</v>
      </c>
      <c r="R1971" s="325" t="s">
        <v>8599</v>
      </c>
    </row>
    <row r="1972" spans="1:18" x14ac:dyDescent="0.35">
      <c r="C1972" s="187"/>
      <c r="D1972" s="463"/>
      <c r="E1972" s="463"/>
      <c r="F1972" s="463" t="s">
        <v>9413</v>
      </c>
      <c r="G1972" s="916" t="s">
        <v>8775</v>
      </c>
      <c r="H1972" s="177" t="s">
        <v>8614</v>
      </c>
      <c r="J1972" t="s">
        <v>7763</v>
      </c>
      <c r="K1972" s="323">
        <v>6.0000000000000001E-3</v>
      </c>
      <c r="L1972" t="s">
        <v>8617</v>
      </c>
      <c r="N1972" s="1"/>
      <c r="O1972" t="s">
        <v>7733</v>
      </c>
      <c r="P1972" s="162">
        <v>96615</v>
      </c>
      <c r="Q1972" s="295" t="s">
        <v>8578</v>
      </c>
      <c r="R1972" s="325" t="s">
        <v>8600</v>
      </c>
    </row>
    <row r="1973" spans="1:18" x14ac:dyDescent="0.35">
      <c r="C1973" s="187"/>
      <c r="D1973" s="463"/>
      <c r="E1973" s="463"/>
      <c r="F1973" s="463" t="s">
        <v>9413</v>
      </c>
      <c r="G1973" s="916" t="s">
        <v>8775</v>
      </c>
      <c r="H1973" s="177" t="s">
        <v>8615</v>
      </c>
      <c r="J1973" t="s">
        <v>7763</v>
      </c>
      <c r="K1973" s="323">
        <v>6.0000000000000001E-3</v>
      </c>
      <c r="L1973" t="s">
        <v>8617</v>
      </c>
      <c r="N1973" s="1"/>
      <c r="O1973" t="s">
        <v>7732</v>
      </c>
      <c r="P1973" s="162">
        <v>96633</v>
      </c>
      <c r="Q1973" s="295" t="s">
        <v>8579</v>
      </c>
      <c r="R1973" s="325" t="s">
        <v>8601</v>
      </c>
    </row>
    <row r="1974" spans="1:18" x14ac:dyDescent="0.35">
      <c r="C1974" s="187"/>
      <c r="I1974" s="185"/>
    </row>
    <row r="1976" spans="1:18" s="5" customFormat="1" x14ac:dyDescent="0.35">
      <c r="A1976" s="86" t="s">
        <v>7852</v>
      </c>
    </row>
    <row r="1978" spans="1:18" ht="28.5" customHeight="1" x14ac:dyDescent="0.35">
      <c r="B1978" s="83" t="s">
        <v>3094</v>
      </c>
      <c r="D1978" s="123" t="s">
        <v>3098</v>
      </c>
      <c r="E1978" s="123" t="s">
        <v>3092</v>
      </c>
      <c r="F1978" s="123" t="s">
        <v>3050</v>
      </c>
      <c r="G1978" s="123" t="s">
        <v>3093</v>
      </c>
      <c r="H1978" s="123" t="s">
        <v>3099</v>
      </c>
      <c r="I1978" s="123" t="s">
        <v>3095</v>
      </c>
      <c r="J1978" s="123" t="s">
        <v>3096</v>
      </c>
    </row>
    <row r="1979" spans="1:18" x14ac:dyDescent="0.35">
      <c r="D1979">
        <v>2.9</v>
      </c>
      <c r="E1979" s="31">
        <v>1000</v>
      </c>
      <c r="F1979" s="13">
        <f>1000*D1979/E1979</f>
        <v>2.9</v>
      </c>
      <c r="G1979" s="15">
        <f>F1979*D1979</f>
        <v>8.41</v>
      </c>
      <c r="H1979">
        <v>20</v>
      </c>
      <c r="I1979" s="10">
        <f>H1979*E1979*0.000000000001*1000000</f>
        <v>0.02</v>
      </c>
      <c r="J1979" s="13">
        <f>1/(6*I1979)</f>
        <v>8.3333333333333339</v>
      </c>
      <c r="M1979" t="s">
        <v>3097</v>
      </c>
    </row>
    <row r="1980" spans="1:18" x14ac:dyDescent="0.35">
      <c r="D1980">
        <v>2.9</v>
      </c>
      <c r="E1980" s="31">
        <v>220</v>
      </c>
      <c r="F1980" s="13">
        <f>1000*D1980/E1980</f>
        <v>13.181818181818182</v>
      </c>
      <c r="G1980" s="15">
        <f>F1980*D1980</f>
        <v>38.227272727272727</v>
      </c>
      <c r="H1980">
        <v>20</v>
      </c>
      <c r="I1980" s="10">
        <f>H1980*E1980*0.000000000001*1000000</f>
        <v>4.3999999999999994E-3</v>
      </c>
      <c r="J1980" s="13">
        <f>1/(6*I1980)</f>
        <v>37.878787878787882</v>
      </c>
    </row>
    <row r="1981" spans="1:18" x14ac:dyDescent="0.35">
      <c r="D1981" s="13">
        <v>1</v>
      </c>
      <c r="E1981" s="31">
        <v>220</v>
      </c>
      <c r="F1981" s="13">
        <f>1000*D1981/E1981</f>
        <v>4.5454545454545459</v>
      </c>
      <c r="G1981" s="15">
        <f>F1981*D1981</f>
        <v>4.5454545454545459</v>
      </c>
      <c r="H1981">
        <v>20</v>
      </c>
      <c r="I1981" s="10">
        <f>H1981*E1981*0.000000000001*1000000</f>
        <v>4.3999999999999994E-3</v>
      </c>
      <c r="J1981" s="13">
        <f>1/(6*I1981)</f>
        <v>37.878787878787882</v>
      </c>
    </row>
    <row r="1982" spans="1:18" x14ac:dyDescent="0.35">
      <c r="M1982" s="4" t="s">
        <v>3176</v>
      </c>
      <c r="N1982" s="4"/>
      <c r="P1982" s="4" t="s">
        <v>3078</v>
      </c>
      <c r="Q1982" s="4"/>
    </row>
    <row r="1983" spans="1:18" x14ac:dyDescent="0.35">
      <c r="B1983" s="83" t="s">
        <v>3158</v>
      </c>
      <c r="F1983" t="s">
        <v>3512</v>
      </c>
      <c r="L1983" t="s">
        <v>3164</v>
      </c>
      <c r="M1983" s="1" t="s">
        <v>3165</v>
      </c>
    </row>
    <row r="1985" spans="2:13" ht="25.5" customHeight="1" x14ac:dyDescent="0.35">
      <c r="D1985" s="123" t="s">
        <v>3159</v>
      </c>
      <c r="E1985" s="123" t="s">
        <v>3160</v>
      </c>
      <c r="F1985" s="123" t="s">
        <v>3161</v>
      </c>
      <c r="G1985" s="123" t="s">
        <v>3163</v>
      </c>
      <c r="I1985" s="123" t="s">
        <v>2394</v>
      </c>
      <c r="J1985" s="123" t="s">
        <v>3166</v>
      </c>
    </row>
    <row r="1986" spans="2:13" x14ac:dyDescent="0.35">
      <c r="D1986">
        <v>50</v>
      </c>
      <c r="E1986" s="162">
        <v>100000</v>
      </c>
      <c r="F1986" s="11">
        <f>D1986/E1986</f>
        <v>5.0000000000000001E-4</v>
      </c>
      <c r="G1986">
        <f>1000*F1986*D1986</f>
        <v>25</v>
      </c>
      <c r="I1986">
        <v>10</v>
      </c>
      <c r="J1986" s="13">
        <f>I1986*0.000001*D1986/F1986</f>
        <v>1</v>
      </c>
      <c r="L1986" t="s">
        <v>3162</v>
      </c>
    </row>
    <row r="1988" spans="2:13" x14ac:dyDescent="0.35">
      <c r="B1988" s="83" t="s">
        <v>3511</v>
      </c>
      <c r="E1988" s="162"/>
      <c r="F1988" s="11"/>
      <c r="M1988" s="1" t="s">
        <v>3515</v>
      </c>
    </row>
    <row r="1989" spans="2:13" x14ac:dyDescent="0.35">
      <c r="E1989" s="162"/>
      <c r="F1989" s="11"/>
      <c r="J1989" s="13"/>
      <c r="M1989" t="s">
        <v>3516</v>
      </c>
    </row>
    <row r="1990" spans="2:13" ht="24.5" x14ac:dyDescent="0.35">
      <c r="D1990" s="123" t="s">
        <v>3513</v>
      </c>
      <c r="E1990" s="123" t="s">
        <v>3514</v>
      </c>
      <c r="F1990" s="123" t="s">
        <v>3518</v>
      </c>
      <c r="G1990" s="123" t="s">
        <v>3519</v>
      </c>
      <c r="H1990" s="123" t="s">
        <v>2979</v>
      </c>
      <c r="J1990" s="123" t="s">
        <v>2394</v>
      </c>
      <c r="M1990" t="s">
        <v>3517</v>
      </c>
    </row>
    <row r="1991" spans="2:13" x14ac:dyDescent="0.35">
      <c r="D1991" s="391">
        <v>8.0000000000000002E-3</v>
      </c>
      <c r="E1991">
        <v>6</v>
      </c>
      <c r="F1991" s="15">
        <v>50</v>
      </c>
      <c r="G1991">
        <v>10</v>
      </c>
      <c r="H1991" s="162">
        <f>F1991*E1991</f>
        <v>300</v>
      </c>
      <c r="J1991" s="162">
        <f>1000000*D1991/(0.5 * (F1991^2 -G1991^2) /H1991)</f>
        <v>2000</v>
      </c>
    </row>
    <row r="1992" spans="2:13" x14ac:dyDescent="0.35">
      <c r="D1992" s="391">
        <v>8.0000000000000002E-3</v>
      </c>
      <c r="E1992">
        <v>36</v>
      </c>
      <c r="F1992" s="15">
        <v>300</v>
      </c>
      <c r="G1992">
        <v>0</v>
      </c>
      <c r="H1992" s="162">
        <f>F1992*E1992</f>
        <v>10800</v>
      </c>
      <c r="J1992" s="162">
        <f>1000000*D1992/(0.5 * (F1992^2 -G1992^2) /H1992)</f>
        <v>1919.9999999999998</v>
      </c>
    </row>
    <row r="1993" spans="2:13" x14ac:dyDescent="0.35">
      <c r="D1993" s="391">
        <v>8.0000000000000002E-3</v>
      </c>
      <c r="E1993">
        <v>35</v>
      </c>
      <c r="F1993" s="15">
        <v>300</v>
      </c>
      <c r="G1993">
        <v>200</v>
      </c>
      <c r="H1993" s="162">
        <f>F1993*E1993</f>
        <v>10500</v>
      </c>
      <c r="J1993" s="162">
        <f>1000000*D1993/(0.5 * (F1993^2 -G1993^2) /H1993)</f>
        <v>3360</v>
      </c>
      <c r="M1993" t="s">
        <v>3520</v>
      </c>
    </row>
    <row r="1994" spans="2:13" x14ac:dyDescent="0.35">
      <c r="D1994" s="391"/>
      <c r="F1994" s="15"/>
      <c r="H1994" s="162"/>
      <c r="J1994" s="162"/>
    </row>
    <row r="1995" spans="2:13" x14ac:dyDescent="0.35">
      <c r="B1995" s="83" t="s">
        <v>3579</v>
      </c>
      <c r="D1995" s="391"/>
      <c r="F1995" s="15"/>
      <c r="H1995" s="162"/>
      <c r="J1995" s="162"/>
    </row>
    <row r="1996" spans="2:13" x14ac:dyDescent="0.35">
      <c r="D1996" s="123" t="s">
        <v>3582</v>
      </c>
      <c r="E1996" s="123" t="s">
        <v>7949</v>
      </c>
      <c r="F1996" s="123"/>
      <c r="G1996" s="123" t="s">
        <v>3584</v>
      </c>
      <c r="H1996" s="123" t="s">
        <v>3585</v>
      </c>
      <c r="I1996" s="123" t="s">
        <v>3586</v>
      </c>
      <c r="J1996" s="162"/>
      <c r="L1996" t="s">
        <v>3164</v>
      </c>
      <c r="M1996" s="1" t="s">
        <v>3583</v>
      </c>
    </row>
    <row r="1997" spans="2:13" x14ac:dyDescent="0.35">
      <c r="D1997" s="391">
        <v>2</v>
      </c>
      <c r="E1997">
        <v>40</v>
      </c>
      <c r="F1997" s="15"/>
      <c r="G1997">
        <f>3*4</f>
        <v>12</v>
      </c>
      <c r="H1997" s="162">
        <f>300*0.02</f>
        <v>6</v>
      </c>
      <c r="I1997">
        <f>G1997/H1997</f>
        <v>2</v>
      </c>
      <c r="J1997" s="162" t="s">
        <v>3587</v>
      </c>
    </row>
    <row r="1998" spans="2:13" x14ac:dyDescent="0.35">
      <c r="D1998" s="391"/>
      <c r="F1998" s="15"/>
      <c r="H1998" s="162"/>
      <c r="J1998" s="162" t="s">
        <v>3112</v>
      </c>
    </row>
    <row r="1999" spans="2:13" x14ac:dyDescent="0.35">
      <c r="B1999" s="83" t="s">
        <v>3602</v>
      </c>
      <c r="D1999" s="391"/>
      <c r="F1999" s="15"/>
      <c r="H1999" s="162"/>
      <c r="I1999" s="128"/>
      <c r="J1999" s="162"/>
    </row>
    <row r="2000" spans="2:13" x14ac:dyDescent="0.35">
      <c r="D2000" s="391"/>
      <c r="F2000" s="15"/>
      <c r="H2000" s="162"/>
      <c r="J2000" s="162"/>
    </row>
    <row r="2001" spans="2:14" x14ac:dyDescent="0.35">
      <c r="D2001" s="123" t="s">
        <v>3592</v>
      </c>
      <c r="E2001" s="123" t="s">
        <v>3593</v>
      </c>
      <c r="F2001" s="123" t="s">
        <v>3594</v>
      </c>
      <c r="G2001" s="162"/>
      <c r="J2001" s="162"/>
      <c r="L2001">
        <v>100</v>
      </c>
      <c r="M2001" t="s">
        <v>2</v>
      </c>
      <c r="N2001" t="s">
        <v>3597</v>
      </c>
    </row>
    <row r="2002" spans="2:14" x14ac:dyDescent="0.35">
      <c r="D2002" s="13">
        <f>D2003*D2004</f>
        <v>48</v>
      </c>
      <c r="E2002" s="13">
        <v>52</v>
      </c>
      <c r="F2002" s="13">
        <v>54</v>
      </c>
      <c r="H2002" t="s">
        <v>4</v>
      </c>
      <c r="I2002" s="391" t="s">
        <v>3599</v>
      </c>
      <c r="L2002">
        <f>SUM(D2002:F2002)</f>
        <v>154</v>
      </c>
      <c r="M2002" t="s">
        <v>4</v>
      </c>
      <c r="N2002" t="s">
        <v>3595</v>
      </c>
    </row>
    <row r="2003" spans="2:14" x14ac:dyDescent="0.35">
      <c r="D2003" s="13">
        <v>48</v>
      </c>
      <c r="E2003" s="13">
        <v>40</v>
      </c>
      <c r="F2003" s="13">
        <v>52</v>
      </c>
      <c r="H2003" t="s">
        <v>2</v>
      </c>
      <c r="I2003" s="162" t="s">
        <v>3596</v>
      </c>
      <c r="L2003" s="12">
        <f>L2002/L2001</f>
        <v>1.54</v>
      </c>
      <c r="M2003" t="s">
        <v>5</v>
      </c>
      <c r="N2003" t="s">
        <v>3598</v>
      </c>
    </row>
    <row r="2004" spans="2:14" x14ac:dyDescent="0.35">
      <c r="D2004" s="13">
        <v>1</v>
      </c>
      <c r="E2004" s="13">
        <v>1.1000000000000001</v>
      </c>
      <c r="F2004" s="13">
        <v>1.2</v>
      </c>
      <c r="H2004" t="s">
        <v>5</v>
      </c>
      <c r="I2004" s="162"/>
    </row>
    <row r="2005" spans="2:14" x14ac:dyDescent="0.35">
      <c r="D2005" s="17">
        <f>D2002/$L2002</f>
        <v>0.31168831168831168</v>
      </c>
      <c r="E2005" s="17">
        <f>E2002/$L2002</f>
        <v>0.33766233766233766</v>
      </c>
      <c r="F2005" s="17">
        <f>F2002/$L2002</f>
        <v>0.35064935064935066</v>
      </c>
      <c r="H2005" s="162" t="s">
        <v>1147</v>
      </c>
    </row>
    <row r="2006" spans="2:14" x14ac:dyDescent="0.35">
      <c r="D2006" s="13">
        <f>D2005*$L2001</f>
        <v>31.168831168831169</v>
      </c>
      <c r="E2006" s="13">
        <f t="shared" ref="E2006:F2006" si="86">E2005*$L2001</f>
        <v>33.766233766233768</v>
      </c>
      <c r="F2006" s="13">
        <f t="shared" si="86"/>
        <v>35.064935064935064</v>
      </c>
      <c r="H2006" t="s">
        <v>2</v>
      </c>
      <c r="I2006" t="s">
        <v>3600</v>
      </c>
      <c r="L2006" s="13">
        <f>SUM(D2006:F2006)</f>
        <v>100</v>
      </c>
      <c r="N2006" t="s">
        <v>3601</v>
      </c>
    </row>
    <row r="2007" spans="2:14" x14ac:dyDescent="0.35">
      <c r="D2007" s="335">
        <f>D2006*$L$2003</f>
        <v>48</v>
      </c>
      <c r="E2007" s="335">
        <f t="shared" ref="E2007:F2007" si="87">E2006*$L$2003</f>
        <v>52</v>
      </c>
      <c r="F2007" s="335">
        <f t="shared" si="87"/>
        <v>54</v>
      </c>
      <c r="H2007" t="s">
        <v>4</v>
      </c>
      <c r="I2007" t="s">
        <v>3603</v>
      </c>
      <c r="J2007" s="162"/>
    </row>
    <row r="2008" spans="2:14" x14ac:dyDescent="0.35">
      <c r="D2008" s="335"/>
      <c r="E2008" s="335"/>
      <c r="F2008" s="335"/>
      <c r="J2008" s="162"/>
    </row>
    <row r="2009" spans="2:14" x14ac:dyDescent="0.35">
      <c r="B2009" s="83" t="s">
        <v>3839</v>
      </c>
      <c r="D2009" s="335"/>
      <c r="E2009" s="335"/>
      <c r="F2009" s="335"/>
      <c r="J2009" s="162"/>
    </row>
    <row r="2010" spans="2:14" x14ac:dyDescent="0.35">
      <c r="D2010" s="335"/>
      <c r="E2010" s="335"/>
      <c r="F2010" s="335"/>
      <c r="J2010" s="162"/>
    </row>
    <row r="2011" spans="2:14" ht="24.5" x14ac:dyDescent="0.35">
      <c r="D2011" s="123" t="s">
        <v>3658</v>
      </c>
      <c r="E2011" s="123" t="s">
        <v>3659</v>
      </c>
      <c r="F2011" s="123" t="s">
        <v>3660</v>
      </c>
      <c r="J2011" s="162"/>
    </row>
    <row r="2012" spans="2:14" x14ac:dyDescent="0.35">
      <c r="D2012" s="335">
        <v>240</v>
      </c>
      <c r="E2012" s="17">
        <v>0.05</v>
      </c>
      <c r="F2012" s="335">
        <f>D2012*1.414*(1+E2012)</f>
        <v>356.32799999999997</v>
      </c>
      <c r="J2012" s="162"/>
    </row>
    <row r="2013" spans="2:14" x14ac:dyDescent="0.35">
      <c r="D2013" s="335"/>
      <c r="E2013" s="17"/>
      <c r="F2013" s="335"/>
      <c r="J2013" s="162"/>
    </row>
    <row r="2014" spans="2:14" x14ac:dyDescent="0.35">
      <c r="B2014" s="83" t="s">
        <v>3841</v>
      </c>
      <c r="D2014" s="335"/>
      <c r="E2014" s="17"/>
      <c r="F2014" s="335"/>
      <c r="J2014" s="162"/>
    </row>
    <row r="2015" spans="2:14" x14ac:dyDescent="0.35">
      <c r="D2015" s="335"/>
      <c r="E2015" s="17"/>
      <c r="F2015" s="335"/>
    </row>
    <row r="2016" spans="2:14" x14ac:dyDescent="0.35">
      <c r="D2016" s="335" t="s">
        <v>3844</v>
      </c>
      <c r="E2016" s="17"/>
      <c r="F2016" s="335"/>
      <c r="K2016" t="s">
        <v>0</v>
      </c>
      <c r="L2016" t="s">
        <v>3843</v>
      </c>
    </row>
    <row r="2017" spans="2:19" x14ac:dyDescent="0.35">
      <c r="D2017" s="335" t="s">
        <v>3845</v>
      </c>
      <c r="E2017" s="17"/>
      <c r="F2017" s="335"/>
      <c r="J2017" s="162"/>
      <c r="K2017" t="s">
        <v>0</v>
      </c>
      <c r="L2017" t="s">
        <v>3842</v>
      </c>
    </row>
    <row r="2018" spans="2:19" x14ac:dyDescent="0.35">
      <c r="D2018" s="335"/>
      <c r="E2018" s="17"/>
      <c r="F2018" s="335"/>
      <c r="J2018" s="162"/>
    </row>
    <row r="2019" spans="2:19" x14ac:dyDescent="0.35">
      <c r="D2019" s="335"/>
      <c r="E2019" s="17"/>
      <c r="F2019" s="335"/>
      <c r="J2019" s="162"/>
    </row>
    <row r="2020" spans="2:19" x14ac:dyDescent="0.35">
      <c r="B2020" s="83" t="s">
        <v>3657</v>
      </c>
      <c r="D2020" s="335"/>
      <c r="E2020" s="17"/>
      <c r="F2020" s="335"/>
      <c r="J2020" s="162"/>
    </row>
    <row r="2021" spans="2:19" x14ac:dyDescent="0.35">
      <c r="D2021" s="335"/>
      <c r="E2021" s="17"/>
      <c r="F2021" s="335"/>
      <c r="J2021" s="162"/>
    </row>
    <row r="2022" spans="2:19" x14ac:dyDescent="0.35">
      <c r="D2022" s="400" t="s">
        <v>3738</v>
      </c>
      <c r="E2022" s="17"/>
      <c r="F2022" s="335"/>
      <c r="K2022" s="400" t="s">
        <v>3739</v>
      </c>
      <c r="S2022" s="401" t="s">
        <v>3746</v>
      </c>
    </row>
    <row r="2023" spans="2:19" x14ac:dyDescent="0.35">
      <c r="D2023" s="335"/>
      <c r="E2023" s="17"/>
      <c r="F2023" s="335"/>
      <c r="J2023" s="162"/>
    </row>
    <row r="2024" spans="2:19" x14ac:dyDescent="0.35">
      <c r="D2024" s="335"/>
      <c r="E2024" s="17"/>
      <c r="F2024" s="335"/>
      <c r="J2024" s="162"/>
    </row>
    <row r="2025" spans="2:19" x14ac:dyDescent="0.35">
      <c r="D2025" s="335"/>
      <c r="E2025" s="17"/>
      <c r="F2025" s="335"/>
      <c r="J2025" s="162"/>
    </row>
    <row r="2026" spans="2:19" x14ac:dyDescent="0.35">
      <c r="D2026" s="335"/>
      <c r="E2026" s="17"/>
      <c r="F2026" s="335"/>
      <c r="J2026" s="162"/>
    </row>
    <row r="2027" spans="2:19" x14ac:dyDescent="0.35">
      <c r="D2027" s="335"/>
      <c r="E2027" s="17"/>
      <c r="F2027" s="335"/>
      <c r="J2027" s="162"/>
    </row>
    <row r="2028" spans="2:19" x14ac:dyDescent="0.35">
      <c r="D2028" s="335"/>
      <c r="E2028" s="17"/>
      <c r="F2028" s="335"/>
      <c r="J2028" s="162"/>
    </row>
    <row r="2029" spans="2:19" x14ac:dyDescent="0.35">
      <c r="D2029" s="335"/>
      <c r="E2029" s="17"/>
      <c r="F2029" s="335"/>
      <c r="J2029" s="162"/>
    </row>
    <row r="2030" spans="2:19" x14ac:dyDescent="0.35">
      <c r="D2030" s="335"/>
      <c r="E2030" s="17"/>
      <c r="F2030" s="335"/>
      <c r="J2030" s="162"/>
    </row>
    <row r="2031" spans="2:19" x14ac:dyDescent="0.35">
      <c r="D2031" s="335"/>
      <c r="E2031" s="17"/>
      <c r="F2031" s="335"/>
      <c r="J2031" s="162"/>
    </row>
    <row r="2032" spans="2:19" x14ac:dyDescent="0.35">
      <c r="D2032" s="335"/>
      <c r="E2032" s="17"/>
      <c r="F2032" s="335"/>
      <c r="J2032" s="162"/>
    </row>
    <row r="2033" spans="1:24" x14ac:dyDescent="0.35">
      <c r="D2033" s="335"/>
      <c r="E2033" s="17"/>
      <c r="F2033" s="335"/>
      <c r="J2033" s="162"/>
    </row>
    <row r="2034" spans="1:24" x14ac:dyDescent="0.35">
      <c r="D2034" s="391"/>
      <c r="F2034" s="15"/>
      <c r="H2034" s="162"/>
      <c r="J2034" s="162"/>
    </row>
    <row r="2035" spans="1:24" x14ac:dyDescent="0.35">
      <c r="D2035" s="391"/>
      <c r="F2035" s="15"/>
      <c r="H2035" s="162"/>
      <c r="J2035" s="162"/>
    </row>
    <row r="2040" spans="1:24" x14ac:dyDescent="0.35">
      <c r="D2040" s="391"/>
      <c r="G2040" s="186"/>
      <c r="H2040" s="53"/>
    </row>
    <row r="2041" spans="1:24" s="5" customFormat="1" x14ac:dyDescent="0.35">
      <c r="A2041" s="86" t="s">
        <v>4968</v>
      </c>
    </row>
    <row r="2042" spans="1:24" x14ac:dyDescent="0.35">
      <c r="D2042" s="295"/>
      <c r="E2042" s="155"/>
      <c r="F2042" s="155"/>
      <c r="G2042" s="155"/>
      <c r="H2042" s="155"/>
      <c r="I2042" s="155"/>
      <c r="J2042" s="155"/>
      <c r="K2042" s="170"/>
      <c r="L2042" s="155"/>
      <c r="M2042" s="1"/>
      <c r="Q2042" s="73"/>
      <c r="R2042" s="1"/>
      <c r="T2042" s="313"/>
      <c r="U2042" s="1"/>
      <c r="W2042" s="313"/>
      <c r="X2042" s="1"/>
    </row>
    <row r="2043" spans="1:24" x14ac:dyDescent="0.35">
      <c r="B2043" s="83" t="s">
        <v>4896</v>
      </c>
      <c r="H2043" s="155" t="s">
        <v>0</v>
      </c>
      <c r="I2043" s="1"/>
      <c r="Q2043" s="73"/>
      <c r="R2043" s="1"/>
      <c r="T2043" s="313"/>
      <c r="U2043" s="1"/>
      <c r="W2043" s="313"/>
      <c r="X2043" s="1"/>
    </row>
    <row r="2044" spans="1:24" x14ac:dyDescent="0.35">
      <c r="D2044" s="155" t="s">
        <v>4960</v>
      </c>
      <c r="E2044" s="155"/>
      <c r="G2044" s="155"/>
      <c r="H2044" s="155" t="s">
        <v>0</v>
      </c>
      <c r="I2044" s="1"/>
      <c r="M2044" s="1" t="s">
        <v>4863</v>
      </c>
      <c r="P2044" t="s">
        <v>0</v>
      </c>
      <c r="Q2044" s="73"/>
      <c r="R2044" s="1"/>
      <c r="T2044" s="313"/>
      <c r="U2044" s="1"/>
      <c r="W2044" s="313"/>
      <c r="X2044" s="1"/>
    </row>
    <row r="2045" spans="1:24" x14ac:dyDescent="0.35">
      <c r="D2045" s="155" t="s">
        <v>3563</v>
      </c>
      <c r="E2045" s="12"/>
      <c r="G2045" s="155"/>
      <c r="H2045" t="s">
        <v>0</v>
      </c>
      <c r="L2045" s="155"/>
      <c r="M2045" s="1" t="s">
        <v>4738</v>
      </c>
      <c r="P2045" t="s">
        <v>0</v>
      </c>
      <c r="Q2045" s="73"/>
      <c r="R2045" s="1"/>
      <c r="T2045" s="313"/>
      <c r="U2045" s="1"/>
      <c r="W2045" s="313"/>
      <c r="X2045" s="1"/>
    </row>
    <row r="2046" spans="1:24" x14ac:dyDescent="0.35">
      <c r="D2046" s="155" t="s">
        <v>4866</v>
      </c>
      <c r="G2046" s="155"/>
      <c r="H2046" t="s">
        <v>0</v>
      </c>
      <c r="L2046" s="155"/>
      <c r="M2046" s="1" t="s">
        <v>4865</v>
      </c>
      <c r="P2046" t="s">
        <v>0</v>
      </c>
      <c r="Q2046" s="73"/>
      <c r="R2046" s="1"/>
      <c r="T2046" s="313"/>
      <c r="U2046" s="1"/>
      <c r="W2046" s="313"/>
      <c r="X2046" s="1"/>
    </row>
    <row r="2047" spans="1:24" x14ac:dyDescent="0.35">
      <c r="D2047" s="155"/>
      <c r="G2047" s="155"/>
      <c r="L2047" s="155"/>
      <c r="M2047" s="1"/>
      <c r="P2047" t="s">
        <v>0</v>
      </c>
      <c r="Q2047" s="73"/>
      <c r="R2047" s="1"/>
      <c r="T2047" s="313"/>
      <c r="U2047" s="1"/>
      <c r="W2047" s="313"/>
      <c r="X2047" s="1"/>
    </row>
    <row r="2048" spans="1:24" x14ac:dyDescent="0.35">
      <c r="B2048" s="83" t="s">
        <v>4962</v>
      </c>
      <c r="O2048" s="1"/>
      <c r="P2048" t="s">
        <v>0</v>
      </c>
      <c r="Q2048" s="73"/>
      <c r="R2048" s="1"/>
      <c r="T2048" s="313"/>
      <c r="U2048" s="1"/>
      <c r="W2048" s="313"/>
      <c r="X2048" s="1"/>
    </row>
    <row r="2049" spans="2:24" x14ac:dyDescent="0.35">
      <c r="D2049" s="155" t="s">
        <v>4881</v>
      </c>
      <c r="E2049" s="12"/>
      <c r="F2049" s="1"/>
      <c r="G2049" s="155"/>
      <c r="J2049" s="1"/>
      <c r="M2049" s="1" t="s">
        <v>4882</v>
      </c>
      <c r="P2049" t="s">
        <v>0</v>
      </c>
      <c r="Q2049" s="547" t="s">
        <v>3377</v>
      </c>
      <c r="R2049" s="947"/>
      <c r="T2049" s="313"/>
      <c r="U2049" s="1"/>
      <c r="W2049" s="313"/>
      <c r="X2049" s="1"/>
    </row>
    <row r="2050" spans="2:24" x14ac:dyDescent="0.35">
      <c r="D2050" s="155" t="s">
        <v>4883</v>
      </c>
      <c r="E2050" s="12"/>
      <c r="F2050" s="1"/>
      <c r="G2050" s="155"/>
      <c r="M2050" s="1" t="s">
        <v>4879</v>
      </c>
      <c r="P2050" t="s">
        <v>0</v>
      </c>
      <c r="Q2050" s="547" t="s">
        <v>3377</v>
      </c>
      <c r="R2050" s="947"/>
      <c r="T2050" s="313"/>
      <c r="U2050" s="1"/>
      <c r="W2050" s="313"/>
      <c r="X2050" s="1"/>
    </row>
    <row r="2051" spans="2:24" x14ac:dyDescent="0.35">
      <c r="D2051" s="155" t="s">
        <v>4942</v>
      </c>
      <c r="E2051" s="12"/>
      <c r="F2051" s="1"/>
      <c r="G2051" s="155"/>
      <c r="L2051" s="155"/>
      <c r="M2051" s="1" t="s">
        <v>4897</v>
      </c>
      <c r="P2051" t="s">
        <v>0</v>
      </c>
      <c r="Q2051" s="73"/>
      <c r="R2051" s="1"/>
      <c r="T2051" s="313"/>
      <c r="U2051" s="1"/>
      <c r="W2051" s="313"/>
      <c r="X2051" s="1"/>
    </row>
    <row r="2052" spans="2:24" x14ac:dyDescent="0.35">
      <c r="D2052" s="155" t="s">
        <v>4937</v>
      </c>
      <c r="E2052" s="12"/>
      <c r="G2052" s="155"/>
      <c r="L2052" s="155"/>
      <c r="M2052" s="1" t="s">
        <v>4936</v>
      </c>
      <c r="P2052" t="s">
        <v>0</v>
      </c>
      <c r="Q2052" s="73"/>
      <c r="R2052" s="1"/>
      <c r="T2052" s="313"/>
      <c r="U2052" s="1"/>
      <c r="W2052" s="313"/>
      <c r="X2052" s="1"/>
    </row>
    <row r="2053" spans="2:24" x14ac:dyDescent="0.35">
      <c r="D2053" s="155" t="s">
        <v>4939</v>
      </c>
      <c r="E2053" s="12"/>
      <c r="G2053" s="155"/>
      <c r="L2053" s="155"/>
      <c r="M2053" s="1" t="s">
        <v>4938</v>
      </c>
      <c r="P2053" t="s">
        <v>0</v>
      </c>
      <c r="Q2053" s="73"/>
      <c r="R2053" s="1"/>
      <c r="T2053" s="313"/>
      <c r="U2053" s="1"/>
      <c r="W2053" s="313"/>
      <c r="X2053" s="1"/>
    </row>
    <row r="2054" spans="2:24" x14ac:dyDescent="0.35">
      <c r="D2054" s="155" t="s">
        <v>4940</v>
      </c>
      <c r="E2054" s="12"/>
      <c r="G2054" s="155"/>
      <c r="L2054" s="155"/>
      <c r="M2054" s="1" t="s">
        <v>4941</v>
      </c>
      <c r="P2054" t="s">
        <v>0</v>
      </c>
      <c r="Q2054" s="73"/>
      <c r="R2054" s="1"/>
      <c r="T2054" s="313"/>
      <c r="U2054" s="1"/>
      <c r="W2054" s="313"/>
      <c r="X2054" s="1"/>
    </row>
    <row r="2056" spans="2:24" x14ac:dyDescent="0.35">
      <c r="B2056" s="83" t="s">
        <v>4958</v>
      </c>
    </row>
    <row r="2057" spans="2:24" x14ac:dyDescent="0.35">
      <c r="D2057" s="155" t="s">
        <v>4944</v>
      </c>
      <c r="E2057" s="12"/>
      <c r="G2057" s="155"/>
      <c r="K2057" t="s">
        <v>0</v>
      </c>
      <c r="L2057" s="155"/>
      <c r="M2057" s="1" t="s">
        <v>1537</v>
      </c>
      <c r="P2057" t="s">
        <v>0</v>
      </c>
      <c r="Q2057" s="73"/>
      <c r="R2057" s="1"/>
      <c r="T2057" s="313"/>
      <c r="U2057" s="1"/>
      <c r="W2057" s="313"/>
      <c r="X2057" s="1"/>
    </row>
    <row r="2058" spans="2:24" x14ac:dyDescent="0.35">
      <c r="D2058" s="155" t="s">
        <v>4945</v>
      </c>
      <c r="E2058" s="12"/>
      <c r="G2058" s="155"/>
      <c r="L2058" s="155"/>
      <c r="M2058" s="1" t="s">
        <v>4943</v>
      </c>
      <c r="P2058" t="s">
        <v>0</v>
      </c>
      <c r="Q2058" s="73"/>
      <c r="R2058" s="1"/>
      <c r="T2058" s="313"/>
      <c r="U2058" s="1"/>
      <c r="W2058" s="313"/>
      <c r="X2058" s="1"/>
    </row>
    <row r="2059" spans="2:24" x14ac:dyDescent="0.35">
      <c r="D2059" s="155" t="s">
        <v>4947</v>
      </c>
      <c r="E2059" s="12"/>
      <c r="G2059" s="155"/>
      <c r="L2059" s="155"/>
      <c r="M2059" s="1" t="s">
        <v>4946</v>
      </c>
      <c r="P2059" t="s">
        <v>0</v>
      </c>
      <c r="Q2059" s="73"/>
      <c r="R2059" s="1"/>
      <c r="T2059" s="313"/>
      <c r="U2059" s="1"/>
      <c r="W2059" s="313"/>
      <c r="X2059" s="1"/>
    </row>
    <row r="2060" spans="2:24" x14ac:dyDescent="0.35">
      <c r="D2060" s="155" t="s">
        <v>4949</v>
      </c>
      <c r="E2060" s="12"/>
      <c r="G2060" s="155"/>
      <c r="L2060" s="155"/>
      <c r="M2060" s="1" t="s">
        <v>4948</v>
      </c>
      <c r="P2060" t="s">
        <v>0</v>
      </c>
      <c r="Q2060" s="73"/>
      <c r="R2060" s="1"/>
      <c r="T2060" s="313"/>
      <c r="U2060" s="1"/>
      <c r="W2060" s="313"/>
      <c r="X2060" s="1"/>
    </row>
    <row r="2061" spans="2:24" x14ac:dyDescent="0.35">
      <c r="D2061" s="155" t="s">
        <v>4930</v>
      </c>
      <c r="E2061" s="12"/>
      <c r="G2061" s="155"/>
      <c r="L2061" s="155"/>
      <c r="M2061" s="1" t="s">
        <v>4929</v>
      </c>
      <c r="O2061" s="1"/>
      <c r="P2061" t="s">
        <v>0</v>
      </c>
      <c r="Q2061" s="73"/>
      <c r="R2061" s="1"/>
      <c r="T2061" s="313"/>
      <c r="U2061" s="1"/>
      <c r="W2061" s="313"/>
      <c r="X2061" s="1"/>
    </row>
    <row r="2062" spans="2:24" x14ac:dyDescent="0.35">
      <c r="D2062" s="155" t="s">
        <v>4950</v>
      </c>
      <c r="E2062" s="12"/>
      <c r="G2062" s="155"/>
      <c r="L2062" s="155"/>
      <c r="M2062" s="1" t="s">
        <v>4951</v>
      </c>
      <c r="P2062" t="s">
        <v>0</v>
      </c>
      <c r="Q2062" s="73"/>
      <c r="R2062" s="1"/>
      <c r="T2062" s="313"/>
      <c r="U2062" s="1"/>
      <c r="W2062" s="313"/>
      <c r="X2062" s="1"/>
    </row>
    <row r="2063" spans="2:24" x14ac:dyDescent="0.35">
      <c r="D2063" s="177" t="s">
        <v>5071</v>
      </c>
      <c r="M2063" s="1" t="s">
        <v>5072</v>
      </c>
      <c r="P2063" t="s">
        <v>0</v>
      </c>
    </row>
    <row r="2064" spans="2:24" x14ac:dyDescent="0.35">
      <c r="D2064" s="155" t="s">
        <v>4952</v>
      </c>
      <c r="E2064" s="12"/>
      <c r="G2064" s="155"/>
      <c r="L2064" s="155"/>
      <c r="M2064" s="1" t="s">
        <v>4953</v>
      </c>
      <c r="P2064" t="s">
        <v>0</v>
      </c>
      <c r="Q2064" s="73"/>
      <c r="R2064" s="1"/>
      <c r="T2064" s="313"/>
      <c r="U2064" s="1"/>
      <c r="W2064" s="313"/>
      <c r="X2064" s="1"/>
    </row>
    <row r="2065" spans="2:24" x14ac:dyDescent="0.35">
      <c r="D2065" s="155" t="s">
        <v>4931</v>
      </c>
      <c r="E2065" s="12"/>
      <c r="G2065" s="155"/>
      <c r="L2065" t="s">
        <v>0</v>
      </c>
      <c r="M2065" t="s">
        <v>4932</v>
      </c>
      <c r="O2065" s="1"/>
      <c r="Q2065" s="73"/>
      <c r="R2065" s="1"/>
      <c r="T2065" s="313"/>
      <c r="U2065" s="1"/>
      <c r="W2065" s="313"/>
      <c r="X2065" s="1"/>
    </row>
    <row r="2066" spans="2:24" x14ac:dyDescent="0.35">
      <c r="D2066" s="155"/>
      <c r="E2066" s="12"/>
      <c r="G2066" s="155"/>
      <c r="O2066" s="1"/>
      <c r="Q2066" s="73"/>
      <c r="R2066" s="1"/>
      <c r="T2066" s="313"/>
      <c r="U2066" s="1"/>
      <c r="W2066" s="313"/>
      <c r="X2066" s="1"/>
    </row>
    <row r="2067" spans="2:24" x14ac:dyDescent="0.35">
      <c r="B2067" s="83" t="s">
        <v>4961</v>
      </c>
      <c r="D2067" s="155"/>
      <c r="E2067" s="12"/>
      <c r="G2067" s="155"/>
      <c r="O2067" s="1"/>
      <c r="Q2067" s="73"/>
      <c r="R2067" s="1"/>
      <c r="T2067" s="313"/>
      <c r="U2067" s="1"/>
      <c r="W2067" s="313"/>
      <c r="X2067" s="1"/>
    </row>
    <row r="2068" spans="2:24" x14ac:dyDescent="0.35">
      <c r="D2068" s="155" t="s">
        <v>4935</v>
      </c>
      <c r="E2068" s="12"/>
      <c r="G2068" s="155"/>
      <c r="L2068" s="155"/>
      <c r="M2068" s="1" t="s">
        <v>4934</v>
      </c>
      <c r="P2068" t="s">
        <v>0</v>
      </c>
      <c r="Q2068" s="73"/>
      <c r="R2068" s="1"/>
      <c r="T2068" s="313"/>
      <c r="U2068" s="1"/>
      <c r="W2068" s="313"/>
      <c r="X2068" s="1"/>
    </row>
    <row r="2069" spans="2:24" x14ac:dyDescent="0.35">
      <c r="B2069" s="83" t="s">
        <v>4959</v>
      </c>
      <c r="D2069" s="155"/>
      <c r="E2069" s="12"/>
      <c r="G2069" s="155"/>
      <c r="O2069" s="1"/>
      <c r="P2069" t="s">
        <v>0</v>
      </c>
      <c r="Q2069" s="73"/>
      <c r="R2069" s="1"/>
      <c r="T2069" s="313"/>
      <c r="U2069" s="1"/>
      <c r="W2069" s="313"/>
      <c r="X2069" s="1"/>
    </row>
    <row r="2070" spans="2:24" x14ac:dyDescent="0.35">
      <c r="D2070" s="155" t="s">
        <v>4928</v>
      </c>
      <c r="E2070" s="12"/>
      <c r="G2070" s="155"/>
      <c r="L2070" s="155"/>
      <c r="M2070" s="1" t="s">
        <v>4927</v>
      </c>
      <c r="O2070" s="1"/>
      <c r="P2070" t="s">
        <v>0</v>
      </c>
      <c r="Q2070" s="73"/>
      <c r="R2070" s="1"/>
      <c r="T2070" s="313"/>
      <c r="U2070" s="1"/>
      <c r="W2070" s="313"/>
      <c r="X2070" s="1"/>
    </row>
    <row r="2071" spans="2:24" x14ac:dyDescent="0.35">
      <c r="D2071" s="155" t="s">
        <v>4955</v>
      </c>
      <c r="E2071" s="12"/>
      <c r="G2071" s="155"/>
      <c r="L2071" s="155"/>
      <c r="M2071" s="1" t="s">
        <v>4954</v>
      </c>
      <c r="P2071" t="s">
        <v>0</v>
      </c>
      <c r="Q2071" s="73"/>
      <c r="R2071" s="1"/>
      <c r="T2071" s="313"/>
      <c r="U2071" s="1"/>
      <c r="W2071" s="313"/>
      <c r="X2071" s="1"/>
    </row>
    <row r="2072" spans="2:24" x14ac:dyDescent="0.35">
      <c r="D2072" s="155" t="s">
        <v>4957</v>
      </c>
      <c r="E2072" s="12"/>
      <c r="G2072" s="155"/>
      <c r="L2072" s="155"/>
      <c r="M2072" s="1" t="s">
        <v>4956</v>
      </c>
      <c r="P2072" t="s">
        <v>0</v>
      </c>
      <c r="Q2072" s="73"/>
      <c r="R2072" s="1"/>
      <c r="T2072" s="313"/>
      <c r="U2072" s="1"/>
      <c r="W2072" s="313"/>
      <c r="X2072" s="1"/>
    </row>
    <row r="2073" spans="2:24" x14ac:dyDescent="0.35">
      <c r="D2073" s="155"/>
      <c r="E2073" s="12"/>
      <c r="G2073" s="155"/>
      <c r="L2073" s="155"/>
      <c r="M2073" s="1"/>
      <c r="Q2073" s="73"/>
      <c r="R2073" s="1"/>
      <c r="T2073" s="313"/>
      <c r="U2073" s="1"/>
      <c r="W2073" s="313"/>
      <c r="X2073" s="1"/>
    </row>
    <row r="2074" spans="2:24" x14ac:dyDescent="0.35">
      <c r="B2074" s="83" t="s">
        <v>9550</v>
      </c>
      <c r="D2074" s="155"/>
      <c r="E2074" s="12"/>
      <c r="G2074" s="155"/>
      <c r="L2074" s="155"/>
      <c r="M2074" s="1"/>
      <c r="Q2074" s="73"/>
      <c r="R2074" s="1"/>
      <c r="T2074" s="313"/>
      <c r="U2074" s="1"/>
      <c r="W2074" s="313"/>
      <c r="X2074" s="1"/>
    </row>
    <row r="2075" spans="2:24" x14ac:dyDescent="0.35">
      <c r="D2075" s="155" t="s">
        <v>9552</v>
      </c>
      <c r="E2075" s="12"/>
      <c r="G2075" s="155"/>
      <c r="J2075" s="309" t="s">
        <v>9554</v>
      </c>
      <c r="L2075" s="155"/>
      <c r="M2075" s="1" t="s">
        <v>9551</v>
      </c>
      <c r="P2075" t="s">
        <v>0</v>
      </c>
      <c r="Q2075" s="73"/>
      <c r="R2075" s="1"/>
      <c r="T2075" s="313"/>
      <c r="U2075" s="1"/>
      <c r="W2075" s="313"/>
      <c r="X2075" s="1"/>
    </row>
    <row r="2076" spans="2:24" x14ac:dyDescent="0.35">
      <c r="D2076" s="155"/>
      <c r="E2076" s="12"/>
      <c r="G2076" s="155"/>
      <c r="J2076" s="309" t="s">
        <v>3563</v>
      </c>
      <c r="L2076" s="155"/>
      <c r="M2076" s="1" t="s">
        <v>9553</v>
      </c>
      <c r="P2076" t="s">
        <v>0</v>
      </c>
      <c r="Q2076" s="73"/>
      <c r="R2076" s="1"/>
      <c r="T2076" s="313"/>
      <c r="U2076" s="1"/>
      <c r="W2076" s="313"/>
      <c r="X2076" s="1"/>
    </row>
    <row r="2077" spans="2:24" x14ac:dyDescent="0.35">
      <c r="D2077" s="155"/>
      <c r="E2077" s="12"/>
      <c r="G2077" s="155"/>
      <c r="J2077" s="309" t="s">
        <v>711</v>
      </c>
      <c r="L2077" s="155"/>
      <c r="M2077" s="1" t="s">
        <v>9551</v>
      </c>
      <c r="P2077" t="s">
        <v>0</v>
      </c>
      <c r="Q2077" s="73"/>
      <c r="R2077" s="1"/>
      <c r="T2077" s="313"/>
      <c r="U2077" s="1"/>
      <c r="W2077" s="313"/>
      <c r="X2077" s="1"/>
    </row>
    <row r="2078" spans="2:24" x14ac:dyDescent="0.35">
      <c r="D2078" s="155"/>
      <c r="E2078" s="12"/>
      <c r="G2078" s="155"/>
      <c r="J2078" s="309"/>
      <c r="L2078" s="155"/>
      <c r="M2078" s="1"/>
      <c r="Q2078" s="73"/>
      <c r="R2078" s="1"/>
      <c r="T2078" s="313"/>
      <c r="U2078" s="1"/>
      <c r="W2078" s="313"/>
      <c r="X2078" s="1"/>
    </row>
    <row r="2079" spans="2:24" x14ac:dyDescent="0.35">
      <c r="D2079" s="155" t="s">
        <v>9556</v>
      </c>
      <c r="E2079" s="12"/>
      <c r="G2079" s="155"/>
      <c r="J2079" s="309"/>
      <c r="L2079" s="155"/>
      <c r="M2079" t="s">
        <v>9555</v>
      </c>
      <c r="P2079" t="s">
        <v>0</v>
      </c>
      <c r="Q2079" s="73"/>
      <c r="R2079" s="1"/>
      <c r="T2079" s="313"/>
      <c r="U2079" s="1"/>
      <c r="W2079" s="313"/>
      <c r="X2079" s="1"/>
    </row>
    <row r="2080" spans="2:24" x14ac:dyDescent="0.35">
      <c r="D2080" s="155"/>
      <c r="E2080" s="12"/>
      <c r="G2080" s="155"/>
      <c r="J2080" s="309"/>
      <c r="L2080" s="155"/>
      <c r="Q2080" s="73"/>
      <c r="R2080" s="1"/>
      <c r="T2080" s="313"/>
      <c r="U2080" s="1"/>
      <c r="W2080" s="313"/>
      <c r="X2080" s="1"/>
    </row>
    <row r="2081" spans="2:24" x14ac:dyDescent="0.35">
      <c r="B2081" s="83" t="s">
        <v>4880</v>
      </c>
      <c r="D2081" s="155"/>
      <c r="E2081" s="12"/>
      <c r="F2081" s="1"/>
      <c r="G2081" s="155"/>
      <c r="P2081" t="s">
        <v>0</v>
      </c>
      <c r="Q2081" s="73"/>
      <c r="R2081" s="1"/>
      <c r="T2081" s="313"/>
      <c r="U2081" s="1"/>
      <c r="W2081" s="313"/>
      <c r="X2081" s="1"/>
    </row>
    <row r="2082" spans="2:24" x14ac:dyDescent="0.35">
      <c r="C2082" s="498" t="s">
        <v>8210</v>
      </c>
      <c r="D2082" s="155" t="s">
        <v>4878</v>
      </c>
      <c r="E2082" s="12"/>
      <c r="F2082" s="1"/>
      <c r="G2082" s="155"/>
      <c r="K2082" t="s">
        <v>0</v>
      </c>
      <c r="M2082" s="1" t="s">
        <v>5367</v>
      </c>
      <c r="P2082" t="s">
        <v>0</v>
      </c>
      <c r="R2082" s="73"/>
      <c r="T2082" s="313"/>
      <c r="U2082" s="1"/>
      <c r="W2082" s="313"/>
      <c r="X2082" s="1"/>
    </row>
    <row r="2083" spans="2:24" x14ac:dyDescent="0.35">
      <c r="C2083" s="498"/>
      <c r="D2083" s="155"/>
      <c r="E2083" t="s">
        <v>711</v>
      </c>
      <c r="F2083" s="1"/>
      <c r="G2083" s="155"/>
      <c r="M2083" s="1" t="s">
        <v>4872</v>
      </c>
      <c r="P2083" t="s">
        <v>0</v>
      </c>
      <c r="R2083" s="73"/>
      <c r="T2083" s="313"/>
      <c r="U2083" s="1"/>
      <c r="W2083" s="313"/>
      <c r="X2083" s="1"/>
    </row>
    <row r="2084" spans="2:24" x14ac:dyDescent="0.35">
      <c r="D2084" s="155"/>
      <c r="E2084" s="155" t="s">
        <v>8203</v>
      </c>
      <c r="F2084" s="1"/>
      <c r="G2084" s="155"/>
      <c r="N2084" s="155"/>
      <c r="P2084" t="s">
        <v>0</v>
      </c>
      <c r="Q2084" s="1"/>
      <c r="T2084" s="313"/>
      <c r="U2084" s="1"/>
      <c r="W2084" s="313"/>
      <c r="X2084" s="1"/>
    </row>
    <row r="2085" spans="2:24" x14ac:dyDescent="0.35">
      <c r="D2085" s="155"/>
      <c r="E2085" s="155"/>
      <c r="F2085" s="1"/>
      <c r="G2085" s="155"/>
      <c r="N2085" s="155"/>
      <c r="Q2085" s="1"/>
      <c r="T2085" s="313"/>
      <c r="U2085" s="1"/>
      <c r="W2085" s="313"/>
      <c r="X2085" s="1"/>
    </row>
    <row r="2086" spans="2:24" x14ac:dyDescent="0.35">
      <c r="C2086" s="498" t="s">
        <v>8211</v>
      </c>
      <c r="D2086" s="155" t="s">
        <v>4876</v>
      </c>
      <c r="E2086" s="12"/>
      <c r="F2086" s="1"/>
      <c r="G2086" s="155"/>
      <c r="U2086" s="1"/>
      <c r="W2086" s="313"/>
      <c r="X2086" s="1"/>
    </row>
    <row r="2087" spans="2:24" x14ac:dyDescent="0.35">
      <c r="C2087" s="498"/>
      <c r="D2087" s="155"/>
      <c r="E2087" t="s">
        <v>4903</v>
      </c>
      <c r="G2087" s="155"/>
      <c r="M2087" s="1" t="s">
        <v>4901</v>
      </c>
      <c r="N2087" s="1"/>
      <c r="P2087" t="s">
        <v>0</v>
      </c>
      <c r="Q2087" s="1"/>
      <c r="S2087" t="s">
        <v>0</v>
      </c>
      <c r="T2087" s="12"/>
      <c r="U2087" s="1"/>
      <c r="W2087" s="313"/>
      <c r="X2087" s="1"/>
    </row>
    <row r="2088" spans="2:24" x14ac:dyDescent="0.35">
      <c r="C2088" s="498"/>
      <c r="D2088" s="155"/>
      <c r="E2088" t="s">
        <v>4963</v>
      </c>
      <c r="G2088" s="155"/>
      <c r="L2088" t="s">
        <v>4964</v>
      </c>
      <c r="M2088" s="1"/>
      <c r="N2088" s="1"/>
      <c r="Q2088" s="1"/>
      <c r="T2088" s="12"/>
      <c r="U2088" s="1"/>
      <c r="W2088" s="313"/>
      <c r="X2088" s="1"/>
    </row>
    <row r="2089" spans="2:24" x14ac:dyDescent="0.35">
      <c r="C2089" s="498"/>
      <c r="D2089" s="155"/>
      <c r="F2089" t="s">
        <v>4967</v>
      </c>
      <c r="G2089" s="155"/>
      <c r="L2089" t="s">
        <v>4965</v>
      </c>
      <c r="M2089" s="1" t="s">
        <v>4966</v>
      </c>
      <c r="N2089" s="1"/>
      <c r="P2089" t="s">
        <v>0</v>
      </c>
      <c r="Q2089" s="1"/>
      <c r="T2089" s="12"/>
      <c r="U2089" s="1"/>
      <c r="W2089" s="313"/>
      <c r="X2089" s="1"/>
    </row>
    <row r="2090" spans="2:24" x14ac:dyDescent="0.35">
      <c r="C2090" s="498"/>
      <c r="D2090" s="155"/>
      <c r="E2090" s="12" t="s">
        <v>4909</v>
      </c>
      <c r="G2090" s="155"/>
      <c r="M2090" s="1" t="s">
        <v>4875</v>
      </c>
      <c r="P2090" t="s">
        <v>0</v>
      </c>
      <c r="Q2090" s="1"/>
      <c r="T2090" s="12"/>
      <c r="U2090" s="1"/>
      <c r="W2090" s="313"/>
      <c r="X2090" s="1"/>
    </row>
    <row r="2091" spans="2:24" x14ac:dyDescent="0.35">
      <c r="C2091" s="498"/>
      <c r="D2091" s="155"/>
      <c r="E2091" t="s">
        <v>4906</v>
      </c>
      <c r="M2091" s="1" t="s">
        <v>4873</v>
      </c>
      <c r="N2091" s="1"/>
      <c r="P2091" t="s">
        <v>0</v>
      </c>
      <c r="Q2091" s="1"/>
      <c r="T2091" s="12"/>
      <c r="U2091" s="1"/>
      <c r="W2091" s="313"/>
      <c r="X2091" s="1"/>
    </row>
    <row r="2092" spans="2:24" x14ac:dyDescent="0.35">
      <c r="C2092" s="498"/>
      <c r="D2092" s="155"/>
      <c r="E2092" s="12" t="s">
        <v>4905</v>
      </c>
      <c r="F2092" s="1"/>
      <c r="M2092" s="1" t="s">
        <v>4895</v>
      </c>
      <c r="N2092" s="1"/>
      <c r="P2092" t="s">
        <v>0</v>
      </c>
      <c r="Q2092" s="1"/>
      <c r="T2092" s="12"/>
      <c r="U2092" s="1"/>
      <c r="W2092" s="313"/>
      <c r="X2092" s="1"/>
    </row>
    <row r="2093" spans="2:24" x14ac:dyDescent="0.35">
      <c r="C2093" s="498"/>
      <c r="D2093" s="155"/>
      <c r="E2093" s="12" t="s">
        <v>4921</v>
      </c>
      <c r="F2093" s="1"/>
      <c r="M2093" s="1" t="s">
        <v>4920</v>
      </c>
      <c r="N2093" s="1"/>
      <c r="P2093" t="s">
        <v>0</v>
      </c>
      <c r="Q2093" s="1"/>
      <c r="T2093" s="12"/>
      <c r="U2093" s="1"/>
      <c r="W2093" s="313"/>
      <c r="X2093" s="1"/>
    </row>
    <row r="2094" spans="2:24" x14ac:dyDescent="0.35">
      <c r="C2094" s="498"/>
      <c r="D2094" s="155"/>
      <c r="E2094" s="12" t="s">
        <v>4922</v>
      </c>
      <c r="F2094" s="1"/>
      <c r="M2094" s="1" t="s">
        <v>4894</v>
      </c>
      <c r="N2094" s="1"/>
      <c r="P2094" t="s">
        <v>0</v>
      </c>
      <c r="Q2094" s="1"/>
      <c r="T2094" s="12"/>
      <c r="U2094" s="1"/>
      <c r="W2094" s="313"/>
      <c r="X2094" s="1"/>
    </row>
    <row r="2095" spans="2:24" x14ac:dyDescent="0.35">
      <c r="E2095" s="12" t="s">
        <v>4908</v>
      </c>
      <c r="K2095" t="s">
        <v>4918</v>
      </c>
      <c r="L2095" t="s">
        <v>0</v>
      </c>
      <c r="M2095" t="s">
        <v>4902</v>
      </c>
    </row>
    <row r="2097" spans="2:31" x14ac:dyDescent="0.35">
      <c r="C2097" s="498"/>
      <c r="D2097" s="155" t="s">
        <v>4877</v>
      </c>
      <c r="E2097" s="12"/>
      <c r="F2097" s="1"/>
      <c r="I2097" s="155"/>
      <c r="M2097" s="1"/>
      <c r="N2097" s="1"/>
      <c r="Q2097" s="1"/>
      <c r="U2097" s="12"/>
      <c r="V2097" s="1"/>
      <c r="X2097" s="313"/>
      <c r="Y2097" s="1"/>
    </row>
    <row r="2098" spans="2:31" x14ac:dyDescent="0.35">
      <c r="C2098" s="498"/>
      <c r="D2098" s="155"/>
      <c r="E2098" s="12" t="s">
        <v>4904</v>
      </c>
      <c r="F2098" s="1"/>
      <c r="G2098" s="155"/>
      <c r="M2098" s="1" t="s">
        <v>4864</v>
      </c>
      <c r="N2098" s="1"/>
      <c r="P2098" t="s">
        <v>0</v>
      </c>
      <c r="Q2098" t="s">
        <v>4888</v>
      </c>
      <c r="R2098" s="1" t="s">
        <v>4890</v>
      </c>
      <c r="U2098" s="12"/>
      <c r="V2098" s="1"/>
      <c r="X2098" s="313"/>
      <c r="Y2098" s="1"/>
      <c r="AE2098" t="s">
        <v>0</v>
      </c>
    </row>
    <row r="2099" spans="2:31" x14ac:dyDescent="0.35">
      <c r="E2099" t="s">
        <v>4907</v>
      </c>
      <c r="F2099" s="1"/>
      <c r="G2099" s="155"/>
      <c r="K2099" t="s">
        <v>4918</v>
      </c>
      <c r="L2099" t="s">
        <v>0</v>
      </c>
      <c r="M2099" s="1" t="s">
        <v>4900</v>
      </c>
      <c r="P2099" t="s">
        <v>0</v>
      </c>
      <c r="Q2099" t="s">
        <v>4917</v>
      </c>
      <c r="U2099" s="313"/>
      <c r="V2099" s="1"/>
      <c r="X2099" s="313"/>
      <c r="Y2099" s="1"/>
    </row>
    <row r="2100" spans="2:31" x14ac:dyDescent="0.35">
      <c r="E2100" s="12" t="s">
        <v>4911</v>
      </c>
      <c r="F2100" s="1"/>
      <c r="G2100" s="155"/>
      <c r="J2100" t="s">
        <v>0</v>
      </c>
      <c r="K2100" t="s">
        <v>4919</v>
      </c>
      <c r="M2100" s="1" t="s">
        <v>4910</v>
      </c>
      <c r="P2100" t="s">
        <v>0</v>
      </c>
      <c r="Q2100" t="s">
        <v>4914</v>
      </c>
      <c r="U2100" s="313"/>
      <c r="V2100" s="1"/>
      <c r="X2100" s="313"/>
      <c r="Y2100" s="1"/>
    </row>
    <row r="2101" spans="2:31" x14ac:dyDescent="0.35">
      <c r="E2101" s="12" t="s">
        <v>4912</v>
      </c>
      <c r="F2101" s="1"/>
      <c r="G2101" s="155"/>
      <c r="K2101" t="s">
        <v>4919</v>
      </c>
      <c r="M2101" s="1" t="s">
        <v>4910</v>
      </c>
      <c r="P2101" t="s">
        <v>0</v>
      </c>
      <c r="Q2101" t="s">
        <v>4915</v>
      </c>
      <c r="U2101" s="313"/>
      <c r="V2101" s="1"/>
      <c r="X2101" s="313"/>
      <c r="Y2101" s="1"/>
    </row>
    <row r="2102" spans="2:31" x14ac:dyDescent="0.35">
      <c r="E2102" s="12" t="s">
        <v>4913</v>
      </c>
      <c r="F2102" s="1"/>
      <c r="G2102" s="155"/>
      <c r="K2102" t="s">
        <v>4919</v>
      </c>
      <c r="M2102" s="1" t="s">
        <v>4910</v>
      </c>
      <c r="P2102" t="s">
        <v>0</v>
      </c>
      <c r="Q2102" t="s">
        <v>4916</v>
      </c>
      <c r="U2102" s="313"/>
      <c r="V2102" s="1"/>
      <c r="X2102" s="313"/>
      <c r="Y2102" s="1"/>
    </row>
    <row r="2103" spans="2:31" x14ac:dyDescent="0.35">
      <c r="E2103" s="155" t="s">
        <v>4923</v>
      </c>
      <c r="K2103" t="s">
        <v>4924</v>
      </c>
      <c r="M2103" s="1" t="s">
        <v>4910</v>
      </c>
      <c r="P2103" t="s">
        <v>0</v>
      </c>
      <c r="Q2103" t="s">
        <v>4925</v>
      </c>
    </row>
    <row r="2104" spans="2:31" x14ac:dyDescent="0.35">
      <c r="E2104" s="295"/>
      <c r="K2104" s="1"/>
      <c r="M2104" s="1"/>
      <c r="N2104" s="1"/>
    </row>
    <row r="2105" spans="2:31" x14ac:dyDescent="0.35">
      <c r="D2105" t="s">
        <v>5074</v>
      </c>
      <c r="E2105" s="295"/>
      <c r="K2105" s="1"/>
      <c r="M2105" s="1" t="s">
        <v>5073</v>
      </c>
      <c r="N2105" s="1"/>
      <c r="P2105" t="s">
        <v>0</v>
      </c>
    </row>
    <row r="2106" spans="2:31" x14ac:dyDescent="0.35">
      <c r="E2106" s="295"/>
      <c r="K2106" s="1"/>
      <c r="M2106" s="1"/>
      <c r="N2106" s="1"/>
    </row>
    <row r="2107" spans="2:31" x14ac:dyDescent="0.35">
      <c r="D2107" t="s">
        <v>4887</v>
      </c>
      <c r="M2107" t="s">
        <v>4888</v>
      </c>
      <c r="N2107" s="1" t="s">
        <v>4871</v>
      </c>
      <c r="O2107" t="s">
        <v>0</v>
      </c>
      <c r="P2107" t="s">
        <v>4889</v>
      </c>
    </row>
    <row r="2109" spans="2:31" x14ac:dyDescent="0.35">
      <c r="D2109" s="155" t="s">
        <v>4886</v>
      </c>
      <c r="E2109" s="12"/>
      <c r="F2109" s="1"/>
      <c r="G2109" s="155"/>
      <c r="I2109" t="s">
        <v>711</v>
      </c>
      <c r="J2109" s="1" t="s">
        <v>4885</v>
      </c>
      <c r="K2109" t="s">
        <v>0</v>
      </c>
      <c r="M2109" s="155" t="s">
        <v>4874</v>
      </c>
      <c r="N2109" s="1" t="s">
        <v>4884</v>
      </c>
      <c r="O2109" t="s">
        <v>0</v>
      </c>
      <c r="P2109" s="1"/>
      <c r="R2109" s="73"/>
      <c r="T2109" s="313"/>
      <c r="U2109" s="1"/>
      <c r="W2109" s="313"/>
      <c r="X2109" s="1"/>
    </row>
    <row r="2110" spans="2:31" x14ac:dyDescent="0.35">
      <c r="D2110" s="155" t="s">
        <v>4893</v>
      </c>
      <c r="E2110" s="12"/>
      <c r="F2110" s="1"/>
      <c r="G2110" s="155"/>
      <c r="J2110" s="1"/>
      <c r="M2110" t="s">
        <v>4888</v>
      </c>
      <c r="N2110" s="1" t="s">
        <v>4891</v>
      </c>
      <c r="O2110" t="s">
        <v>0</v>
      </c>
      <c r="P2110" t="s">
        <v>4892</v>
      </c>
      <c r="R2110" s="73"/>
      <c r="T2110" s="313"/>
      <c r="U2110" s="1"/>
      <c r="W2110" s="313"/>
      <c r="X2110" s="1"/>
    </row>
    <row r="2111" spans="2:31" x14ac:dyDescent="0.35">
      <c r="D2111" s="155"/>
      <c r="E2111" s="12"/>
      <c r="F2111" s="1"/>
      <c r="G2111" s="155"/>
      <c r="J2111" s="1"/>
      <c r="N2111" s="1"/>
      <c r="R2111" s="73"/>
      <c r="T2111" s="313"/>
      <c r="U2111" s="1"/>
      <c r="W2111" s="313"/>
      <c r="X2111" s="1"/>
    </row>
    <row r="2112" spans="2:31" x14ac:dyDescent="0.35">
      <c r="B2112" s="83" t="s">
        <v>4933</v>
      </c>
      <c r="D2112" s="307" t="s">
        <v>1535</v>
      </c>
      <c r="E2112" s="12"/>
      <c r="F2112" s="307" t="s">
        <v>4825</v>
      </c>
      <c r="G2112" s="307" t="s">
        <v>4826</v>
      </c>
      <c r="H2112" s="307" t="s">
        <v>4831</v>
      </c>
      <c r="I2112" s="307" t="s">
        <v>4833</v>
      </c>
      <c r="J2112" s="307" t="s">
        <v>4834</v>
      </c>
      <c r="M2112" s="1"/>
      <c r="Q2112" s="73"/>
      <c r="R2112" s="1"/>
      <c r="T2112" s="313"/>
      <c r="U2112" s="1"/>
      <c r="W2112" s="313"/>
      <c r="X2112" s="1"/>
    </row>
    <row r="2113" spans="1:24" x14ac:dyDescent="0.35">
      <c r="D2113" s="155" t="s">
        <v>4830</v>
      </c>
      <c r="E2113" s="12"/>
      <c r="F2113" s="496" t="s">
        <v>3198</v>
      </c>
      <c r="G2113" s="496" t="s">
        <v>3198</v>
      </c>
      <c r="H2113" s="496" t="s">
        <v>3198</v>
      </c>
      <c r="I2113" s="495" t="s">
        <v>3484</v>
      </c>
      <c r="J2113" s="186">
        <v>3.3</v>
      </c>
      <c r="M2113" t="s">
        <v>4870</v>
      </c>
      <c r="Q2113" s="73"/>
      <c r="R2113" s="1"/>
      <c r="T2113" s="313"/>
      <c r="U2113" s="1"/>
      <c r="W2113" s="313"/>
      <c r="X2113" s="1"/>
    </row>
    <row r="2114" spans="1:24" x14ac:dyDescent="0.35">
      <c r="D2114" s="155" t="s">
        <v>4828</v>
      </c>
      <c r="E2114" s="12"/>
      <c r="F2114" s="496" t="s">
        <v>3198</v>
      </c>
      <c r="G2114" s="496" t="s">
        <v>3198</v>
      </c>
      <c r="H2114" s="496" t="s">
        <v>3198</v>
      </c>
      <c r="I2114" s="495" t="s">
        <v>3484</v>
      </c>
      <c r="L2114" s="155"/>
      <c r="M2114" s="497" t="s">
        <v>4867</v>
      </c>
      <c r="Q2114" s="73"/>
      <c r="R2114" s="1"/>
      <c r="T2114" s="313"/>
      <c r="U2114" s="1"/>
      <c r="W2114" s="313"/>
      <c r="X2114" s="1"/>
    </row>
    <row r="2115" spans="1:24" x14ac:dyDescent="0.35">
      <c r="D2115" s="155" t="s">
        <v>4827</v>
      </c>
      <c r="E2115" s="12"/>
      <c r="F2115" s="495" t="s">
        <v>3484</v>
      </c>
      <c r="G2115" s="496" t="s">
        <v>3198</v>
      </c>
      <c r="H2115" s="495" t="s">
        <v>3484</v>
      </c>
      <c r="I2115" s="495" t="s">
        <v>3484</v>
      </c>
      <c r="L2115" s="155"/>
      <c r="M2115" s="155" t="s">
        <v>4868</v>
      </c>
      <c r="Q2115" s="73"/>
      <c r="R2115" s="1"/>
      <c r="T2115" s="313"/>
      <c r="U2115" s="1"/>
      <c r="W2115" s="313"/>
      <c r="X2115" s="1"/>
    </row>
    <row r="2116" spans="1:24" x14ac:dyDescent="0.35">
      <c r="D2116" s="155" t="s">
        <v>4829</v>
      </c>
      <c r="E2116" s="12"/>
      <c r="F2116" s="496" t="s">
        <v>3198</v>
      </c>
      <c r="G2116" s="495" t="s">
        <v>3484</v>
      </c>
      <c r="H2116" s="495" t="s">
        <v>3484</v>
      </c>
      <c r="I2116" s="495" t="s">
        <v>3484</v>
      </c>
      <c r="L2116" s="155"/>
      <c r="M2116" s="155" t="s">
        <v>4869</v>
      </c>
      <c r="Q2116" s="73"/>
      <c r="R2116" s="1"/>
      <c r="T2116" s="313"/>
      <c r="U2116" s="1"/>
      <c r="W2116" s="313"/>
      <c r="X2116" s="1"/>
    </row>
    <row r="2117" spans="1:24" x14ac:dyDescent="0.35">
      <c r="D2117" s="155" t="s">
        <v>4926</v>
      </c>
      <c r="E2117" s="12"/>
      <c r="F2117" s="496" t="s">
        <v>3198</v>
      </c>
      <c r="G2117" s="496" t="s">
        <v>3198</v>
      </c>
      <c r="H2117" s="496" t="s">
        <v>3198</v>
      </c>
      <c r="I2117" s="496" t="s">
        <v>3198</v>
      </c>
      <c r="L2117" s="155"/>
      <c r="M2117" s="155"/>
      <c r="Q2117" s="73"/>
      <c r="R2117" s="1"/>
      <c r="T2117" s="313"/>
      <c r="U2117" s="1"/>
      <c r="W2117" s="313"/>
      <c r="X2117" s="1"/>
    </row>
    <row r="2118" spans="1:24" x14ac:dyDescent="0.35">
      <c r="D2118" s="155" t="s">
        <v>4832</v>
      </c>
      <c r="E2118" s="12"/>
      <c r="F2118" s="1"/>
      <c r="G2118" s="155"/>
      <c r="I2118" s="496" t="s">
        <v>3198</v>
      </c>
      <c r="J2118" s="127">
        <v>6</v>
      </c>
      <c r="L2118" s="155"/>
      <c r="M2118" s="1"/>
      <c r="Q2118" s="73"/>
      <c r="R2118" s="1"/>
      <c r="T2118" s="313"/>
      <c r="U2118" s="1"/>
      <c r="W2118" s="313"/>
      <c r="X2118" s="1"/>
    </row>
    <row r="2119" spans="1:24" x14ac:dyDescent="0.35">
      <c r="D2119" s="155"/>
      <c r="E2119" s="12"/>
      <c r="F2119" s="1"/>
      <c r="G2119" s="155"/>
      <c r="I2119" s="496"/>
      <c r="J2119" s="127"/>
      <c r="L2119" s="155"/>
      <c r="M2119" s="1"/>
      <c r="Q2119" s="73"/>
      <c r="R2119" s="1"/>
      <c r="T2119" s="313"/>
      <c r="U2119" s="1"/>
      <c r="W2119" s="313"/>
      <c r="X2119" s="1"/>
    </row>
    <row r="2120" spans="1:24" s="5" customFormat="1" x14ac:dyDescent="0.35">
      <c r="A2120" s="86" t="s">
        <v>5555</v>
      </c>
    </row>
    <row r="2121" spans="1:24" x14ac:dyDescent="0.35">
      <c r="D2121" s="155"/>
      <c r="E2121" s="12"/>
      <c r="F2121" s="1"/>
      <c r="G2121" s="155"/>
      <c r="I2121" s="496"/>
      <c r="J2121" s="127"/>
      <c r="L2121" s="155"/>
      <c r="M2121" s="1"/>
      <c r="Q2121" s="73"/>
      <c r="R2121" s="1"/>
      <c r="T2121" s="313"/>
      <c r="U2121" s="1"/>
      <c r="W2121" s="313"/>
      <c r="X2121" s="1"/>
    </row>
    <row r="2122" spans="1:24" x14ac:dyDescent="0.35">
      <c r="B2122" s="83" t="s">
        <v>5544</v>
      </c>
      <c r="D2122" s="155"/>
      <c r="E2122" s="12"/>
      <c r="G2122" s="1"/>
      <c r="H2122" s="155"/>
      <c r="J2122" s="496"/>
      <c r="K2122" s="127"/>
      <c r="M2122" s="155"/>
      <c r="N2122" s="1"/>
      <c r="R2122" s="73"/>
      <c r="S2122" s="1"/>
      <c r="T2122" s="313"/>
      <c r="U2122" s="1"/>
      <c r="W2122" s="313"/>
      <c r="X2122" s="1"/>
    </row>
    <row r="2123" spans="1:24" x14ac:dyDescent="0.35">
      <c r="D2123" s="155" t="s">
        <v>5545</v>
      </c>
      <c r="G2123" t="s">
        <v>5541</v>
      </c>
      <c r="I2123" s="155" t="s">
        <v>5546</v>
      </c>
      <c r="J2123" s="12"/>
      <c r="K2123" s="1"/>
      <c r="L2123" s="155"/>
      <c r="O2123" s="534" t="s">
        <v>5537</v>
      </c>
      <c r="Q2123" s="155"/>
      <c r="R2123" s="1" t="s">
        <v>5536</v>
      </c>
      <c r="U2123" s="1"/>
      <c r="W2123" s="313"/>
      <c r="X2123" s="1"/>
    </row>
    <row r="2124" spans="1:24" x14ac:dyDescent="0.35">
      <c r="D2124" s="155" t="s">
        <v>3919</v>
      </c>
      <c r="I2124" s="155" t="s">
        <v>5539</v>
      </c>
      <c r="J2124" s="12"/>
      <c r="K2124" s="1"/>
      <c r="L2124" s="155"/>
      <c r="O2124" s="534" t="s">
        <v>5538</v>
      </c>
      <c r="Q2124" s="155" t="s">
        <v>5540</v>
      </c>
      <c r="R2124" s="1"/>
      <c r="U2124" s="1"/>
      <c r="W2124" s="313"/>
      <c r="X2124" s="1"/>
    </row>
    <row r="2125" spans="1:24" x14ac:dyDescent="0.35">
      <c r="D2125" s="155" t="s">
        <v>3919</v>
      </c>
      <c r="E2125" s="12"/>
      <c r="F2125" s="1"/>
      <c r="G2125" t="s">
        <v>5549</v>
      </c>
      <c r="I2125" s="155" t="s">
        <v>5546</v>
      </c>
      <c r="J2125" s="127"/>
      <c r="L2125" s="155"/>
      <c r="M2125" s="1"/>
      <c r="O2125" s="534" t="s">
        <v>5553</v>
      </c>
      <c r="Q2125" s="73"/>
      <c r="R2125" s="1" t="s">
        <v>5552</v>
      </c>
      <c r="T2125" s="313"/>
      <c r="U2125" s="1"/>
      <c r="W2125" s="313"/>
      <c r="X2125" s="1"/>
    </row>
    <row r="2126" spans="1:24" x14ac:dyDescent="0.35">
      <c r="D2126" t="s">
        <v>5543</v>
      </c>
      <c r="G2126" t="s">
        <v>5542</v>
      </c>
      <c r="I2126" s="155" t="s">
        <v>5547</v>
      </c>
      <c r="J2126" s="12"/>
      <c r="K2126" s="1"/>
      <c r="L2126" s="155"/>
      <c r="O2126" s="534" t="s">
        <v>5535</v>
      </c>
      <c r="Q2126" s="155"/>
      <c r="R2126" s="1" t="s">
        <v>5534</v>
      </c>
      <c r="U2126" s="1"/>
      <c r="W2126" s="313"/>
      <c r="X2126" s="1"/>
    </row>
    <row r="2127" spans="1:24" ht="15.5" x14ac:dyDescent="0.35">
      <c r="D2127" s="155" t="s">
        <v>3919</v>
      </c>
      <c r="E2127" s="12"/>
      <c r="G2127" t="s">
        <v>5551</v>
      </c>
      <c r="H2127" s="155"/>
      <c r="I2127" s="155" t="s">
        <v>3919</v>
      </c>
      <c r="J2127" s="496"/>
      <c r="K2127" s="127"/>
      <c r="M2127" s="155"/>
      <c r="N2127" s="535"/>
      <c r="O2127" s="534" t="s">
        <v>5550</v>
      </c>
      <c r="R2127" s="1" t="s">
        <v>5548</v>
      </c>
      <c r="S2127" s="1"/>
      <c r="T2127" s="313"/>
      <c r="U2127" s="1"/>
      <c r="W2127" s="313"/>
      <c r="X2127" s="1"/>
    </row>
    <row r="2128" spans="1:24" ht="15.5" x14ac:dyDescent="0.35">
      <c r="B2128" s="83" t="s">
        <v>5556</v>
      </c>
      <c r="D2128" s="155"/>
      <c r="E2128" s="12"/>
      <c r="I2128" s="155"/>
      <c r="J2128" s="496"/>
      <c r="K2128" s="127"/>
      <c r="M2128" s="155"/>
      <c r="N2128" s="535"/>
      <c r="O2128" s="534"/>
      <c r="R2128" s="1"/>
      <c r="S2128" s="1"/>
      <c r="T2128" s="313"/>
      <c r="U2128" s="1"/>
      <c r="W2128" s="313"/>
      <c r="X2128" s="1"/>
    </row>
    <row r="2129" spans="1:29" x14ac:dyDescent="0.35">
      <c r="D2129" s="155" t="s">
        <v>5557</v>
      </c>
      <c r="E2129" s="12"/>
      <c r="G2129" s="155"/>
      <c r="H2129" s="1" t="s">
        <v>5554</v>
      </c>
      <c r="I2129" s="496"/>
      <c r="J2129" s="127"/>
      <c r="L2129" s="155"/>
      <c r="M2129" s="1"/>
      <c r="Q2129" s="73"/>
      <c r="R2129" s="1"/>
      <c r="T2129" s="313"/>
      <c r="U2129" s="1"/>
      <c r="W2129" s="313"/>
      <c r="X2129" s="1"/>
    </row>
    <row r="2130" spans="1:29" x14ac:dyDescent="0.35">
      <c r="D2130" s="155"/>
      <c r="E2130" s="12"/>
      <c r="F2130" s="1"/>
      <c r="G2130" s="155"/>
      <c r="I2130" s="496"/>
      <c r="J2130" s="127"/>
      <c r="L2130" s="155"/>
      <c r="M2130" s="1"/>
      <c r="Q2130" s="73"/>
      <c r="R2130" s="1"/>
      <c r="T2130" s="313"/>
      <c r="U2130" s="1"/>
      <c r="W2130" s="313"/>
      <c r="X2130" s="1"/>
    </row>
    <row r="2131" spans="1:29" s="5" customFormat="1" x14ac:dyDescent="0.35">
      <c r="A2131" s="86" t="s">
        <v>5763</v>
      </c>
    </row>
    <row r="2132" spans="1:29" x14ac:dyDescent="0.35">
      <c r="D2132" s="155"/>
      <c r="E2132" s="12"/>
      <c r="F2132" s="1"/>
      <c r="G2132" s="155"/>
      <c r="I2132" s="496"/>
      <c r="J2132" s="127"/>
      <c r="L2132" s="155"/>
      <c r="M2132" s="1"/>
      <c r="Q2132" s="73"/>
      <c r="R2132" s="1"/>
      <c r="T2132" s="313"/>
      <c r="U2132" s="1"/>
      <c r="W2132" s="313"/>
      <c r="X2132" s="1"/>
    </row>
    <row r="2133" spans="1:29" x14ac:dyDescent="0.35">
      <c r="B2133" s="83" t="s">
        <v>1535</v>
      </c>
      <c r="D2133" t="str">
        <f>H1731</f>
        <v>XMC4200F64K256BAXQSA1 (160 qty mult, $3.25 arrow),      XMC4200F64K256BAXQSA1 (960 qty mult, $2.97 arrow)</v>
      </c>
      <c r="E2133" s="12"/>
      <c r="F2133" s="1"/>
      <c r="G2133" s="155"/>
      <c r="I2133" s="496"/>
      <c r="J2133" s="127"/>
      <c r="L2133" s="155"/>
      <c r="M2133" s="1"/>
      <c r="Q2133" s="73"/>
      <c r="R2133" s="1"/>
      <c r="T2133" s="313"/>
      <c r="U2133" s="1"/>
      <c r="W2133" s="313"/>
      <c r="X2133" s="1"/>
    </row>
    <row r="2134" spans="1:29" x14ac:dyDescent="0.35">
      <c r="D2134" s="155"/>
      <c r="E2134" s="12"/>
      <c r="F2134" s="1"/>
      <c r="G2134" s="155"/>
      <c r="I2134" s="496"/>
      <c r="J2134" s="127"/>
      <c r="L2134" s="155"/>
      <c r="M2134" s="1"/>
      <c r="Q2134" s="73"/>
      <c r="R2134" s="1"/>
      <c r="T2134" s="313"/>
      <c r="U2134" s="1"/>
      <c r="W2134" s="313"/>
      <c r="X2134" s="1"/>
    </row>
    <row r="2135" spans="1:29" x14ac:dyDescent="0.35">
      <c r="B2135" s="83" t="s">
        <v>5371</v>
      </c>
      <c r="D2135" s="155"/>
      <c r="E2135" s="12"/>
      <c r="F2135" s="1"/>
      <c r="G2135" s="155"/>
      <c r="I2135" s="496"/>
      <c r="J2135" s="127"/>
      <c r="L2135" s="155"/>
      <c r="M2135" s="1"/>
      <c r="Q2135" s="73"/>
      <c r="R2135" s="1"/>
      <c r="T2135" s="313"/>
      <c r="U2135" s="1"/>
      <c r="W2135" s="313"/>
      <c r="X2135" s="1"/>
    </row>
    <row r="2136" spans="1:29" x14ac:dyDescent="0.35">
      <c r="D2136" t="s">
        <v>8213</v>
      </c>
      <c r="F2136" s="388"/>
      <c r="G2136" s="336"/>
      <c r="M2136" s="313"/>
      <c r="N2136" s="313"/>
      <c r="O2136" s="73"/>
      <c r="P2136" s="73"/>
      <c r="Q2136" s="313"/>
      <c r="S2136" s="1"/>
    </row>
    <row r="2137" spans="1:29" x14ac:dyDescent="0.35">
      <c r="D2137" s="1" t="s">
        <v>5367</v>
      </c>
      <c r="F2137" s="388"/>
      <c r="G2137" s="336"/>
      <c r="M2137" s="313"/>
      <c r="N2137" s="313"/>
      <c r="O2137" s="73"/>
      <c r="P2137" s="73"/>
      <c r="Q2137" s="313"/>
      <c r="S2137" s="1"/>
    </row>
    <row r="2138" spans="1:29" x14ac:dyDescent="0.35">
      <c r="F2138" s="388"/>
      <c r="G2138" s="336"/>
      <c r="N2138" s="313"/>
      <c r="O2138" s="73"/>
      <c r="P2138" s="73"/>
      <c r="Q2138" s="313"/>
      <c r="S2138" s="1"/>
    </row>
    <row r="2139" spans="1:29" x14ac:dyDescent="0.35">
      <c r="B2139" s="83" t="s">
        <v>4998</v>
      </c>
      <c r="D2139" t="s">
        <v>8212</v>
      </c>
      <c r="F2139" s="155"/>
      <c r="G2139" s="155"/>
      <c r="H2139" s="155"/>
      <c r="I2139" s="413"/>
      <c r="J2139" s="155"/>
      <c r="K2139" s="155"/>
      <c r="L2139" s="155"/>
      <c r="M2139" s="1"/>
      <c r="Q2139" s="73"/>
      <c r="R2139" s="1"/>
      <c r="T2139" s="313"/>
      <c r="U2139" s="1"/>
      <c r="W2139" s="313"/>
      <c r="X2139" s="1"/>
      <c r="AC2139" s="1" t="s">
        <v>5367</v>
      </c>
    </row>
    <row r="2140" spans="1:29" x14ac:dyDescent="0.35">
      <c r="D2140" t="s">
        <v>5004</v>
      </c>
      <c r="F2140" s="155"/>
      <c r="G2140" s="155"/>
      <c r="H2140" s="155"/>
      <c r="I2140" s="413"/>
      <c r="J2140" s="155"/>
      <c r="K2140" s="155"/>
      <c r="L2140" s="155"/>
      <c r="M2140" s="1"/>
      <c r="Q2140" s="73"/>
      <c r="R2140" s="1"/>
      <c r="T2140" s="313"/>
      <c r="U2140" s="1"/>
      <c r="W2140" s="313"/>
      <c r="X2140" s="1"/>
    </row>
    <row r="2141" spans="1:29" x14ac:dyDescent="0.35">
      <c r="F2141" s="155"/>
      <c r="G2141" s="155"/>
      <c r="H2141" s="155"/>
      <c r="I2141" s="413"/>
      <c r="J2141" s="155"/>
      <c r="K2141" s="155"/>
      <c r="L2141" s="155"/>
      <c r="M2141" s="1"/>
      <c r="Q2141" s="73"/>
      <c r="R2141" s="1"/>
      <c r="T2141" s="313"/>
      <c r="U2141" s="1"/>
      <c r="W2141" s="313"/>
      <c r="X2141" s="1"/>
    </row>
    <row r="2142" spans="1:29" x14ac:dyDescent="0.35">
      <c r="B2142" s="83" t="s">
        <v>5001</v>
      </c>
      <c r="D2142" t="s">
        <v>5002</v>
      </c>
      <c r="F2142" s="155"/>
      <c r="G2142" s="155"/>
      <c r="H2142" s="155"/>
      <c r="I2142" s="413"/>
      <c r="J2142" s="155"/>
      <c r="K2142" s="155"/>
      <c r="L2142" s="155"/>
      <c r="M2142" s="1"/>
      <c r="Q2142" s="73"/>
      <c r="R2142" s="1"/>
      <c r="T2142" s="313"/>
      <c r="U2142" s="1"/>
      <c r="W2142" s="313"/>
      <c r="X2142" s="1"/>
    </row>
    <row r="2143" spans="1:29" x14ac:dyDescent="0.35">
      <c r="F2143" s="155"/>
      <c r="G2143" s="155"/>
      <c r="H2143" s="155"/>
      <c r="I2143" s="413"/>
      <c r="J2143" s="155"/>
      <c r="K2143" s="155"/>
      <c r="L2143" s="155"/>
      <c r="M2143" s="1"/>
      <c r="Q2143" s="73"/>
      <c r="R2143" s="1"/>
      <c r="T2143" s="313"/>
      <c r="U2143" s="1"/>
      <c r="W2143" s="313"/>
      <c r="X2143" s="1"/>
    </row>
    <row r="2144" spans="1:29" x14ac:dyDescent="0.35">
      <c r="B2144" s="83" t="s">
        <v>5000</v>
      </c>
      <c r="D2144" t="s">
        <v>8214</v>
      </c>
      <c r="F2144" s="155"/>
      <c r="G2144" s="155"/>
      <c r="H2144" s="155"/>
      <c r="I2144" s="413"/>
      <c r="J2144" s="155"/>
      <c r="K2144" s="155"/>
      <c r="L2144" s="155"/>
      <c r="M2144" s="1"/>
      <c r="O2144" s="1" t="s">
        <v>4864</v>
      </c>
      <c r="Q2144" s="73"/>
      <c r="R2144" s="1"/>
      <c r="T2144" s="313"/>
      <c r="U2144" s="1"/>
      <c r="W2144" s="313"/>
      <c r="X2144" s="1"/>
    </row>
    <row r="2145" spans="2:24" x14ac:dyDescent="0.35">
      <c r="D2145" t="s">
        <v>5010</v>
      </c>
      <c r="F2145" s="155"/>
      <c r="G2145" s="155"/>
      <c r="H2145" s="155"/>
      <c r="I2145" s="413"/>
      <c r="J2145" s="155"/>
      <c r="K2145" s="155"/>
      <c r="L2145" s="155"/>
      <c r="M2145" s="1"/>
      <c r="Q2145" s="73"/>
      <c r="R2145" s="1"/>
      <c r="T2145" s="313"/>
      <c r="U2145" s="1"/>
      <c r="W2145" s="313"/>
      <c r="X2145" s="1"/>
    </row>
    <row r="2146" spans="2:24" x14ac:dyDescent="0.35">
      <c r="F2146" s="155"/>
      <c r="G2146" s="155"/>
      <c r="H2146" s="155"/>
      <c r="I2146" s="413"/>
      <c r="J2146" s="155"/>
      <c r="K2146" s="155"/>
      <c r="L2146" s="155"/>
      <c r="M2146" s="1"/>
      <c r="Q2146" s="73"/>
      <c r="R2146" s="1"/>
      <c r="T2146" s="313"/>
      <c r="U2146" s="1"/>
      <c r="W2146" s="313"/>
      <c r="X2146" s="1"/>
    </row>
    <row r="2147" spans="2:24" x14ac:dyDescent="0.35">
      <c r="B2147" s="83" t="s">
        <v>5006</v>
      </c>
      <c r="D2147" t="s">
        <v>5007</v>
      </c>
      <c r="F2147" s="155"/>
      <c r="G2147" s="155"/>
      <c r="H2147" s="155"/>
      <c r="I2147" s="413"/>
      <c r="J2147" s="155"/>
      <c r="K2147" s="155"/>
      <c r="L2147" s="155"/>
      <c r="M2147" s="1"/>
      <c r="Q2147" s="73"/>
      <c r="R2147" s="1"/>
      <c r="T2147" s="313"/>
      <c r="U2147" s="1"/>
      <c r="W2147" s="313"/>
      <c r="X2147" s="1"/>
    </row>
    <row r="2148" spans="2:24" x14ac:dyDescent="0.35">
      <c r="F2148" s="155"/>
      <c r="G2148" s="155"/>
      <c r="I2148" s="413"/>
      <c r="J2148" s="155"/>
      <c r="K2148" s="155"/>
      <c r="L2148" s="155"/>
      <c r="M2148" s="1"/>
      <c r="Q2148" s="73"/>
      <c r="R2148" s="1"/>
      <c r="T2148" s="313"/>
      <c r="U2148" s="1"/>
      <c r="W2148" s="313"/>
      <c r="X2148" s="1"/>
    </row>
    <row r="2149" spans="2:24" x14ac:dyDescent="0.35">
      <c r="B2149" s="83" t="s">
        <v>4831</v>
      </c>
      <c r="D2149" t="s">
        <v>5008</v>
      </c>
      <c r="F2149" s="155"/>
      <c r="G2149" s="155"/>
      <c r="I2149" s="413"/>
      <c r="J2149" s="155"/>
      <c r="K2149" s="155"/>
      <c r="L2149" s="155"/>
      <c r="M2149" s="1"/>
      <c r="Q2149" s="73"/>
      <c r="R2149" s="1"/>
      <c r="T2149" s="313"/>
      <c r="U2149" s="1"/>
      <c r="W2149" s="313"/>
      <c r="X2149" s="1"/>
    </row>
    <row r="2150" spans="2:24" x14ac:dyDescent="0.35">
      <c r="F2150" s="155"/>
      <c r="G2150" s="155"/>
      <c r="I2150" s="413"/>
      <c r="J2150" s="155"/>
      <c r="K2150" s="155"/>
      <c r="L2150" s="155"/>
      <c r="M2150" s="1"/>
      <c r="Q2150" s="73"/>
      <c r="R2150" s="1"/>
      <c r="T2150" s="313"/>
      <c r="U2150" s="1"/>
      <c r="W2150" s="313"/>
      <c r="X2150" s="1"/>
    </row>
    <row r="2151" spans="2:24" x14ac:dyDescent="0.35">
      <c r="B2151" s="83" t="s">
        <v>5011</v>
      </c>
      <c r="D2151" t="s">
        <v>5012</v>
      </c>
      <c r="F2151" s="155"/>
      <c r="G2151" s="155"/>
      <c r="I2151" s="413"/>
      <c r="J2151" s="155"/>
      <c r="K2151" s="155"/>
      <c r="L2151" s="155"/>
      <c r="M2151" s="1"/>
      <c r="Q2151" s="73"/>
      <c r="R2151" s="1"/>
      <c r="T2151" s="313"/>
      <c r="U2151" s="1"/>
      <c r="W2151" s="313"/>
      <c r="X2151" s="1"/>
    </row>
    <row r="2152" spans="2:24" x14ac:dyDescent="0.35">
      <c r="F2152" s="155"/>
      <c r="G2152" s="155"/>
      <c r="I2152" s="413"/>
      <c r="J2152" s="155"/>
      <c r="K2152" s="155"/>
      <c r="L2152" s="155"/>
      <c r="M2152" s="1"/>
      <c r="Q2152" s="73"/>
      <c r="R2152" s="1"/>
      <c r="T2152" s="313"/>
      <c r="U2152" s="1"/>
      <c r="W2152" s="313"/>
      <c r="X2152" s="1"/>
    </row>
    <row r="2153" spans="2:24" x14ac:dyDescent="0.35">
      <c r="B2153" s="83" t="s">
        <v>5013</v>
      </c>
      <c r="D2153" t="s">
        <v>5014</v>
      </c>
      <c r="F2153" s="155"/>
      <c r="G2153" s="155"/>
      <c r="I2153" s="413"/>
      <c r="J2153" s="155"/>
      <c r="K2153" s="155"/>
      <c r="L2153" s="155"/>
      <c r="M2153" s="1"/>
      <c r="Q2153" s="73"/>
      <c r="R2153" s="1"/>
      <c r="T2153" s="313"/>
      <c r="U2153" s="1"/>
      <c r="W2153" s="313"/>
      <c r="X2153" s="1"/>
    </row>
    <row r="2154" spans="2:24" x14ac:dyDescent="0.35">
      <c r="F2154" s="155"/>
      <c r="G2154" s="155"/>
      <c r="I2154" s="413"/>
      <c r="J2154" s="155"/>
      <c r="K2154" s="155"/>
      <c r="L2154" s="155"/>
      <c r="M2154" s="1"/>
      <c r="Q2154" s="73"/>
      <c r="R2154" s="1"/>
      <c r="T2154" s="313"/>
      <c r="U2154" s="1"/>
      <c r="W2154" s="313"/>
      <c r="X2154" s="1"/>
    </row>
    <row r="2155" spans="2:24" x14ac:dyDescent="0.35">
      <c r="B2155" s="83" t="s">
        <v>5015</v>
      </c>
      <c r="D2155" t="s">
        <v>5016</v>
      </c>
      <c r="F2155" s="155"/>
      <c r="G2155" s="155"/>
      <c r="I2155" s="413"/>
      <c r="J2155" s="155"/>
      <c r="K2155" s="155"/>
      <c r="L2155" s="155"/>
      <c r="M2155" s="1"/>
      <c r="Q2155" s="73"/>
      <c r="R2155" s="1"/>
      <c r="T2155" s="313"/>
      <c r="U2155" s="1"/>
      <c r="W2155" s="313"/>
      <c r="X2155" s="1"/>
    </row>
    <row r="2156" spans="2:24" x14ac:dyDescent="0.35">
      <c r="F2156" s="155"/>
      <c r="G2156" s="155"/>
      <c r="I2156" s="413"/>
      <c r="J2156" s="155"/>
      <c r="K2156" s="155"/>
      <c r="L2156" s="155"/>
      <c r="M2156" s="1"/>
      <c r="Q2156" s="73"/>
      <c r="R2156" s="1"/>
      <c r="T2156" s="313"/>
      <c r="U2156" s="1"/>
      <c r="W2156" s="313"/>
      <c r="X2156" s="1"/>
    </row>
    <row r="2157" spans="2:24" x14ac:dyDescent="0.35">
      <c r="B2157" s="83" t="s">
        <v>5022</v>
      </c>
      <c r="D2157" t="s">
        <v>5023</v>
      </c>
      <c r="F2157" s="155"/>
      <c r="G2157" s="155"/>
      <c r="I2157" s="413"/>
      <c r="J2157" s="155"/>
      <c r="K2157" s="155"/>
      <c r="L2157" s="155"/>
      <c r="M2157" s="1"/>
      <c r="Q2157" s="73"/>
      <c r="R2157" s="1"/>
      <c r="T2157" s="313"/>
      <c r="U2157" s="1"/>
      <c r="W2157" s="313"/>
      <c r="X2157" s="1"/>
    </row>
    <row r="2158" spans="2:24" x14ac:dyDescent="0.35">
      <c r="F2158" s="155"/>
      <c r="G2158" s="155"/>
      <c r="I2158" s="413"/>
      <c r="J2158" s="155"/>
      <c r="K2158" s="155"/>
      <c r="L2158" s="155"/>
      <c r="M2158" s="1"/>
      <c r="Q2158" s="73"/>
      <c r="R2158" s="1"/>
      <c r="T2158" s="313"/>
      <c r="U2158" s="1"/>
      <c r="W2158" s="313"/>
      <c r="X2158" s="1"/>
    </row>
    <row r="2159" spans="2:24" x14ac:dyDescent="0.35">
      <c r="B2159" s="83" t="s">
        <v>5025</v>
      </c>
      <c r="D2159" t="s">
        <v>5024</v>
      </c>
      <c r="F2159" s="155"/>
      <c r="G2159" s="155"/>
      <c r="I2159" s="413"/>
      <c r="J2159" s="155"/>
      <c r="K2159" s="155"/>
      <c r="L2159" s="155"/>
      <c r="M2159" s="1"/>
      <c r="Q2159" s="73"/>
      <c r="R2159" s="1"/>
      <c r="T2159" s="313"/>
      <c r="U2159" s="1"/>
      <c r="W2159" s="313"/>
      <c r="X2159" s="1"/>
    </row>
    <row r="2160" spans="2:24" x14ac:dyDescent="0.35">
      <c r="F2160" s="155"/>
      <c r="G2160" s="155"/>
      <c r="I2160" s="413"/>
      <c r="J2160" s="155"/>
      <c r="K2160" s="155"/>
      <c r="L2160" s="155"/>
      <c r="M2160" s="1"/>
      <c r="Q2160" s="73"/>
      <c r="R2160" s="1"/>
      <c r="T2160" s="313"/>
      <c r="U2160" s="1"/>
      <c r="W2160" s="313"/>
      <c r="X2160" s="1"/>
    </row>
    <row r="2161" spans="1:24" s="5" customFormat="1" x14ac:dyDescent="0.35">
      <c r="A2161" s="86" t="s">
        <v>4969</v>
      </c>
    </row>
    <row r="2162" spans="1:24" x14ac:dyDescent="0.35">
      <c r="F2162" s="155"/>
      <c r="G2162" s="155"/>
      <c r="I2162" s="413"/>
      <c r="J2162" s="155"/>
      <c r="K2162" s="155"/>
      <c r="L2162" s="155"/>
      <c r="M2162" s="1"/>
      <c r="Q2162" s="73"/>
      <c r="R2162" s="1"/>
      <c r="T2162" s="313"/>
      <c r="U2162" s="1"/>
      <c r="W2162" s="313"/>
      <c r="X2162" s="1"/>
    </row>
    <row r="2163" spans="1:24" ht="13.5" customHeight="1" x14ac:dyDescent="0.35">
      <c r="B2163" s="83" t="s">
        <v>5021</v>
      </c>
      <c r="F2163" s="132"/>
      <c r="G2163" s="155"/>
      <c r="H2163" s="155"/>
      <c r="I2163" s="413"/>
      <c r="J2163" s="155"/>
      <c r="K2163" s="155"/>
      <c r="L2163" s="155"/>
      <c r="M2163" s="1"/>
      <c r="Q2163" s="73"/>
      <c r="R2163" s="1"/>
      <c r="T2163" s="313"/>
      <c r="U2163" s="1"/>
      <c r="W2163" s="313"/>
      <c r="X2163" s="1"/>
    </row>
    <row r="2164" spans="1:24" ht="13.5" customHeight="1" x14ac:dyDescent="0.35">
      <c r="D2164" s="325" t="s">
        <v>5018</v>
      </c>
      <c r="F2164" s="132">
        <f>SUM(G2169:H2169)</f>
        <v>24</v>
      </c>
      <c r="G2164" s="155"/>
      <c r="H2164" s="155"/>
      <c r="I2164" s="413"/>
      <c r="J2164" s="155"/>
      <c r="K2164" s="155"/>
      <c r="L2164" s="155"/>
      <c r="M2164" s="1"/>
      <c r="Q2164" s="73"/>
      <c r="R2164" s="1"/>
      <c r="T2164" s="313"/>
      <c r="U2164" s="1"/>
      <c r="W2164" s="313"/>
      <c r="X2164" s="1"/>
    </row>
    <row r="2165" spans="1:24" ht="13.5" customHeight="1" x14ac:dyDescent="0.35">
      <c r="D2165" s="325" t="s">
        <v>5020</v>
      </c>
      <c r="F2165" s="132">
        <f>SUM(F2169:H2169)</f>
        <v>34</v>
      </c>
      <c r="G2165" s="155"/>
      <c r="H2165" s="155"/>
      <c r="I2165" s="413"/>
      <c r="J2165" s="155"/>
      <c r="K2165" s="155"/>
      <c r="L2165" s="155"/>
      <c r="M2165" s="1"/>
      <c r="Q2165" s="73"/>
      <c r="R2165" s="1"/>
      <c r="T2165" s="313"/>
      <c r="U2165" s="1"/>
      <c r="W2165" s="313"/>
      <c r="X2165" s="1"/>
    </row>
    <row r="2166" spans="1:24" ht="13.5" customHeight="1" x14ac:dyDescent="0.35">
      <c r="D2166" s="325" t="s">
        <v>5019</v>
      </c>
      <c r="F2166" s="132">
        <f>SUM(J2169:K2169)</f>
        <v>39</v>
      </c>
      <c r="G2166" s="155"/>
      <c r="H2166" s="155"/>
      <c r="I2166" s="413"/>
      <c r="J2166" s="155"/>
      <c r="K2166" s="155"/>
      <c r="L2166" s="155"/>
      <c r="M2166" s="1"/>
      <c r="Q2166" s="73"/>
      <c r="R2166" s="1"/>
      <c r="T2166" s="313"/>
      <c r="U2166" s="1"/>
      <c r="W2166" s="313"/>
      <c r="X2166" s="1"/>
    </row>
    <row r="2167" spans="1:24" ht="13.5" customHeight="1" x14ac:dyDescent="0.35">
      <c r="D2167" s="325" t="s">
        <v>5039</v>
      </c>
      <c r="F2167" s="132">
        <f>F2164+F2166</f>
        <v>63</v>
      </c>
      <c r="G2167" s="155"/>
      <c r="H2167" s="155"/>
      <c r="I2167" s="413"/>
      <c r="J2167" s="155"/>
      <c r="K2167" s="155"/>
      <c r="L2167" s="155"/>
      <c r="M2167" s="1"/>
      <c r="Q2167" s="73"/>
      <c r="R2167" s="1"/>
      <c r="T2167" s="313"/>
      <c r="U2167" s="1"/>
      <c r="W2167" s="313"/>
      <c r="X2167" s="1"/>
    </row>
    <row r="2168" spans="1:24" x14ac:dyDescent="0.35">
      <c r="F2168" s="155"/>
      <c r="G2168" s="155"/>
      <c r="I2168" s="413"/>
      <c r="J2168" s="155"/>
      <c r="K2168" s="155"/>
      <c r="L2168" s="155"/>
      <c r="M2168" s="1"/>
      <c r="Q2168" s="73"/>
      <c r="R2168" s="1"/>
      <c r="T2168" s="313"/>
      <c r="U2168" s="1"/>
      <c r="W2168" s="313"/>
      <c r="X2168" s="1"/>
    </row>
    <row r="2169" spans="1:24" x14ac:dyDescent="0.35">
      <c r="B2169" s="83" t="s">
        <v>4976</v>
      </c>
      <c r="C2169" s="286"/>
      <c r="D2169" t="s">
        <v>4997</v>
      </c>
      <c r="F2169" s="499">
        <f>SUM(F2172:F2194)</f>
        <v>10</v>
      </c>
      <c r="G2169" s="499">
        <f t="shared" ref="G2169:K2169" si="88">SUM(G2172:G2194)</f>
        <v>19</v>
      </c>
      <c r="H2169" s="499">
        <f t="shared" si="88"/>
        <v>5</v>
      </c>
      <c r="I2169" s="499">
        <f t="shared" si="88"/>
        <v>5</v>
      </c>
      <c r="J2169" s="499">
        <f t="shared" si="88"/>
        <v>24</v>
      </c>
      <c r="K2169" s="499">
        <f t="shared" si="88"/>
        <v>15</v>
      </c>
      <c r="Q2169" s="73"/>
      <c r="R2169" s="1"/>
      <c r="T2169" s="313"/>
      <c r="U2169" s="1"/>
      <c r="W2169" s="313"/>
      <c r="X2169" s="1"/>
    </row>
    <row r="2170" spans="1:24" x14ac:dyDescent="0.35">
      <c r="E2170" s="499"/>
      <c r="F2170" s="499"/>
      <c r="G2170" s="499"/>
      <c r="N2170" s="155"/>
      <c r="Q2170" s="73"/>
      <c r="R2170" s="1"/>
      <c r="T2170" s="313"/>
      <c r="U2170" s="1"/>
      <c r="W2170" s="313"/>
      <c r="X2170" s="1"/>
    </row>
    <row r="2171" spans="1:24" ht="24.5" x14ac:dyDescent="0.35">
      <c r="D2171" s="205"/>
      <c r="E2171" s="205"/>
      <c r="F2171" s="123" t="s">
        <v>4994</v>
      </c>
      <c r="G2171" s="123" t="s">
        <v>4992</v>
      </c>
      <c r="H2171" s="123" t="s">
        <v>4993</v>
      </c>
      <c r="I2171" s="123" t="s">
        <v>5009</v>
      </c>
      <c r="J2171" s="123" t="s">
        <v>4995</v>
      </c>
      <c r="K2171" s="123" t="s">
        <v>4996</v>
      </c>
      <c r="L2171" s="232"/>
      <c r="M2171" s="123" t="s">
        <v>99</v>
      </c>
      <c r="N2171" s="232"/>
      <c r="O2171" s="232"/>
      <c r="P2171" s="232"/>
      <c r="Q2171" s="501"/>
      <c r="R2171" s="4"/>
      <c r="T2171" s="313"/>
      <c r="U2171" s="1"/>
      <c r="W2171" s="313"/>
      <c r="X2171" s="1"/>
    </row>
    <row r="2172" spans="1:24" x14ac:dyDescent="0.35">
      <c r="D2172" t="s">
        <v>4977</v>
      </c>
      <c r="F2172" s="3">
        <v>10</v>
      </c>
      <c r="G2172" s="3"/>
      <c r="H2172" s="3"/>
      <c r="L2172" s="155"/>
      <c r="M2172" t="s">
        <v>4970</v>
      </c>
      <c r="N2172" s="413"/>
      <c r="P2172" s="155"/>
      <c r="Q2172" s="155"/>
      <c r="T2172" s="313"/>
      <c r="U2172" s="1"/>
      <c r="W2172" s="313"/>
      <c r="X2172" s="1"/>
    </row>
    <row r="2173" spans="1:24" x14ac:dyDescent="0.35">
      <c r="D2173" t="s">
        <v>4971</v>
      </c>
      <c r="F2173" s="3"/>
      <c r="G2173" s="502">
        <v>6</v>
      </c>
      <c r="H2173" s="3"/>
      <c r="J2173" s="502">
        <v>12</v>
      </c>
      <c r="L2173" s="155"/>
      <c r="M2173" t="s">
        <v>4973</v>
      </c>
      <c r="N2173" s="413"/>
      <c r="P2173" s="155"/>
      <c r="Q2173" s="155"/>
      <c r="T2173" s="313"/>
      <c r="U2173" s="1"/>
      <c r="W2173" s="313"/>
      <c r="X2173" s="1"/>
    </row>
    <row r="2174" spans="1:24" x14ac:dyDescent="0.35">
      <c r="D2174" t="s">
        <v>4972</v>
      </c>
      <c r="F2174" s="3"/>
      <c r="G2174" s="3">
        <v>4</v>
      </c>
      <c r="H2174" s="3"/>
      <c r="L2174" s="155"/>
      <c r="M2174" t="s">
        <v>4974</v>
      </c>
      <c r="N2174" s="413"/>
      <c r="P2174" s="155"/>
      <c r="Q2174" s="155"/>
      <c r="T2174" s="313"/>
      <c r="U2174" s="1"/>
      <c r="W2174" s="313"/>
      <c r="X2174" s="1"/>
    </row>
    <row r="2175" spans="1:24" x14ac:dyDescent="0.35">
      <c r="D2175" t="s">
        <v>4975</v>
      </c>
      <c r="F2175" s="3"/>
      <c r="J2175" s="3">
        <v>2</v>
      </c>
      <c r="K2175" s="132">
        <v>2</v>
      </c>
      <c r="L2175" s="155"/>
      <c r="M2175" t="s">
        <v>4991</v>
      </c>
      <c r="N2175" s="413"/>
      <c r="P2175" s="155"/>
      <c r="Q2175" s="155"/>
      <c r="T2175" s="313"/>
      <c r="U2175" s="1"/>
      <c r="W2175" s="313"/>
      <c r="X2175" s="1"/>
    </row>
    <row r="2176" spans="1:24" x14ac:dyDescent="0.35">
      <c r="D2176" t="s">
        <v>4980</v>
      </c>
      <c r="F2176" s="3"/>
      <c r="J2176" s="3">
        <v>1</v>
      </c>
      <c r="K2176" s="132">
        <v>1</v>
      </c>
      <c r="L2176" s="155"/>
      <c r="M2176" s="155" t="s">
        <v>4989</v>
      </c>
      <c r="N2176" s="413"/>
      <c r="P2176" s="155"/>
      <c r="Q2176" s="155"/>
      <c r="T2176" s="313"/>
      <c r="U2176" s="1"/>
      <c r="W2176" s="313"/>
      <c r="X2176" s="1"/>
    </row>
    <row r="2177" spans="4:24" x14ac:dyDescent="0.35">
      <c r="D2177" t="s">
        <v>4978</v>
      </c>
      <c r="F2177" s="3"/>
      <c r="J2177" s="3"/>
      <c r="K2177" s="132">
        <v>1</v>
      </c>
      <c r="L2177" s="413"/>
      <c r="M2177" s="155" t="s">
        <v>4990</v>
      </c>
      <c r="N2177" s="155"/>
      <c r="P2177" s="155"/>
      <c r="Q2177" s="1"/>
      <c r="T2177" s="313"/>
      <c r="U2177" s="1"/>
      <c r="W2177" s="313"/>
      <c r="X2177" s="1"/>
    </row>
    <row r="2178" spans="4:24" x14ac:dyDescent="0.35">
      <c r="D2178" t="s">
        <v>4979</v>
      </c>
      <c r="F2178" s="3"/>
      <c r="J2178" s="3">
        <v>1</v>
      </c>
      <c r="K2178" s="132">
        <v>1</v>
      </c>
      <c r="L2178" s="413"/>
      <c r="M2178" s="155" t="s">
        <v>4989</v>
      </c>
      <c r="N2178" s="155"/>
      <c r="P2178" s="155"/>
      <c r="Q2178" s="1"/>
      <c r="T2178" s="313"/>
      <c r="U2178" s="1"/>
      <c r="W2178" s="313"/>
      <c r="X2178" s="1"/>
    </row>
    <row r="2179" spans="4:24" x14ac:dyDescent="0.35">
      <c r="D2179" t="s">
        <v>4981</v>
      </c>
      <c r="F2179" s="3"/>
      <c r="J2179" s="3">
        <v>1</v>
      </c>
      <c r="K2179" s="132">
        <v>2</v>
      </c>
      <c r="L2179" s="413"/>
      <c r="M2179" s="155" t="s">
        <v>4988</v>
      </c>
      <c r="N2179" s="155"/>
      <c r="P2179" s="155"/>
      <c r="Q2179" s="1"/>
      <c r="T2179" s="313"/>
      <c r="U2179" s="1"/>
      <c r="W2179" s="313"/>
      <c r="X2179" s="1"/>
    </row>
    <row r="2180" spans="4:24" x14ac:dyDescent="0.35">
      <c r="D2180" t="s">
        <v>5003</v>
      </c>
      <c r="F2180" s="3"/>
      <c r="J2180" s="3"/>
      <c r="K2180" s="132">
        <v>5</v>
      </c>
      <c r="L2180" s="413"/>
      <c r="M2180" s="155" t="str">
        <f>D2142</f>
        <v>Install 5 temperature sensors (e.g. Tmp302) that turn on if they see &gt; 95C, to protect parts.</v>
      </c>
      <c r="N2180" s="155"/>
      <c r="P2180" s="155"/>
      <c r="Q2180" s="1"/>
      <c r="T2180" s="313"/>
      <c r="U2180" s="1"/>
      <c r="W2180" s="313"/>
      <c r="X2180" s="1"/>
    </row>
    <row r="2181" spans="4:24" x14ac:dyDescent="0.35">
      <c r="D2181" t="s">
        <v>4984</v>
      </c>
      <c r="F2181" s="3"/>
      <c r="J2181" s="3">
        <v>1</v>
      </c>
      <c r="K2181" s="132"/>
      <c r="L2181" s="413"/>
      <c r="M2181" s="155" t="s">
        <v>4985</v>
      </c>
      <c r="N2181" s="155"/>
      <c r="P2181" s="155"/>
      <c r="Q2181" s="1"/>
      <c r="T2181" s="313"/>
      <c r="U2181" s="1"/>
      <c r="W2181" s="313"/>
      <c r="X2181" s="1"/>
    </row>
    <row r="2182" spans="4:24" x14ac:dyDescent="0.35">
      <c r="D2182" t="s">
        <v>4986</v>
      </c>
      <c r="F2182" s="3"/>
      <c r="G2182" s="3">
        <v>1</v>
      </c>
      <c r="H2182" s="132">
        <v>1</v>
      </c>
      <c r="K2182" s="155"/>
      <c r="L2182" s="413"/>
      <c r="M2182" s="155"/>
      <c r="N2182" s="155"/>
      <c r="O2182" s="155"/>
      <c r="P2182" s="1"/>
      <c r="T2182" s="313"/>
      <c r="U2182" s="1"/>
      <c r="W2182" s="313"/>
      <c r="X2182" s="1"/>
    </row>
    <row r="2183" spans="4:24" x14ac:dyDescent="0.35">
      <c r="D2183" t="s">
        <v>4987</v>
      </c>
      <c r="F2183" s="3"/>
      <c r="G2183" s="3">
        <v>1</v>
      </c>
      <c r="H2183" s="132">
        <v>1</v>
      </c>
      <c r="K2183" s="413"/>
      <c r="L2183" s="155"/>
      <c r="M2183" s="155"/>
      <c r="N2183" s="155"/>
      <c r="O2183" s="1"/>
      <c r="S2183" s="73"/>
      <c r="T2183" s="313"/>
      <c r="U2183" s="1"/>
      <c r="W2183" s="313"/>
      <c r="X2183" s="1"/>
    </row>
    <row r="2184" spans="4:24" x14ac:dyDescent="0.35">
      <c r="D2184" t="s">
        <v>4999</v>
      </c>
      <c r="G2184" s="132">
        <v>1</v>
      </c>
      <c r="H2184" s="132">
        <v>1</v>
      </c>
      <c r="J2184" s="132"/>
      <c r="K2184" s="132"/>
      <c r="L2184" s="155"/>
      <c r="M2184" s="155" t="str">
        <f>D2140</f>
        <v>Attach eeprom to processor, 2 pins (eeprom_clock, eeprom_data), see Xm4200 ref pcb for example. Do not use obsolete #CAT24AA04.</v>
      </c>
      <c r="N2184" s="155"/>
    </row>
    <row r="2185" spans="4:24" x14ac:dyDescent="0.35">
      <c r="D2185" t="s">
        <v>5005</v>
      </c>
      <c r="G2185" s="132">
        <v>2</v>
      </c>
      <c r="H2185" s="132"/>
      <c r="I2185">
        <v>2</v>
      </c>
      <c r="J2185" s="132"/>
      <c r="K2185" s="132"/>
      <c r="L2185" s="155"/>
      <c r="M2185" s="155" t="str">
        <f>D2145</f>
        <v>Attach processor to 2 debug connectors, see xmc4200 ref pcb, uses processor port PC_RXD_DEV/4.7C and PC_TXD_DEV/4.5D and dedicated uP TCK and TMS.</v>
      </c>
      <c r="N2185" s="155"/>
      <c r="O2185" s="1"/>
      <c r="S2185" s="73"/>
      <c r="T2185" s="313"/>
      <c r="U2185" s="1"/>
      <c r="W2185" s="313"/>
      <c r="X2185" s="1"/>
    </row>
    <row r="2186" spans="4:24" x14ac:dyDescent="0.35">
      <c r="D2186" t="s">
        <v>5006</v>
      </c>
      <c r="G2186" s="132"/>
      <c r="H2186" s="132"/>
      <c r="J2186" s="132">
        <v>2</v>
      </c>
      <c r="K2186" s="132"/>
      <c r="L2186" s="155"/>
      <c r="M2186" s="155" t="str">
        <f>D2147</f>
        <v>Attach processor to two led's, see xmc4200 ref pcb #LED100 and #LED101</v>
      </c>
      <c r="N2186" s="155"/>
      <c r="O2186" s="1"/>
      <c r="S2186" s="73"/>
      <c r="T2186" s="313"/>
      <c r="U2186" s="1"/>
      <c r="W2186" s="313"/>
      <c r="X2186" s="1"/>
    </row>
    <row r="2187" spans="4:24" x14ac:dyDescent="0.35">
      <c r="D2187" t="s">
        <v>4831</v>
      </c>
      <c r="G2187" s="155"/>
      <c r="H2187" s="155"/>
      <c r="I2187" s="155">
        <v>2</v>
      </c>
      <c r="J2187" s="413"/>
      <c r="K2187" s="155"/>
      <c r="L2187" s="155"/>
      <c r="M2187" s="155" t="str">
        <f>D2149</f>
        <v>Attach processor USB D+- pins to USB connector, see xmc4200 ref design USB connector #X302C</v>
      </c>
      <c r="N2187" s="1"/>
      <c r="O2187" s="1"/>
      <c r="S2187" s="73"/>
      <c r="T2187" s="313"/>
      <c r="U2187" s="1"/>
      <c r="W2187" s="313"/>
      <c r="X2187" s="1"/>
    </row>
    <row r="2188" spans="4:24" ht="13.5" customHeight="1" x14ac:dyDescent="0.35">
      <c r="R2188" s="73"/>
      <c r="S2188" s="1"/>
      <c r="T2188" s="313"/>
      <c r="U2188" s="1"/>
      <c r="W2188" s="313"/>
      <c r="X2188" s="1"/>
    </row>
    <row r="2189" spans="4:24" ht="13.5" customHeight="1" x14ac:dyDescent="0.35">
      <c r="D2189" s="302" t="s">
        <v>5057</v>
      </c>
      <c r="G2189" s="155"/>
      <c r="H2189" s="155"/>
      <c r="I2189" s="155"/>
      <c r="J2189" s="413"/>
      <c r="K2189" s="155"/>
      <c r="L2189" s="155"/>
      <c r="M2189" s="155"/>
      <c r="N2189" s="1"/>
      <c r="R2189" s="73"/>
      <c r="S2189" s="1"/>
      <c r="T2189" s="313"/>
      <c r="U2189" s="1"/>
      <c r="W2189" s="313"/>
      <c r="X2189" s="1"/>
    </row>
    <row r="2190" spans="4:24" x14ac:dyDescent="0.35">
      <c r="D2190" t="s">
        <v>5017</v>
      </c>
      <c r="G2190" s="132">
        <v>3</v>
      </c>
      <c r="H2190" s="132">
        <v>1</v>
      </c>
      <c r="J2190" s="132">
        <v>3</v>
      </c>
      <c r="K2190" s="132">
        <v>1</v>
      </c>
      <c r="L2190" s="155"/>
      <c r="M2190" s="155" t="str">
        <f>D2155</f>
        <v>uP talks with FPGA via 4x SPI pins (clk, din, dout, enable)</v>
      </c>
      <c r="N2190" s="155"/>
      <c r="O2190" s="1"/>
      <c r="S2190" s="73"/>
      <c r="T2190" s="313"/>
      <c r="U2190" s="1"/>
      <c r="W2190" s="313"/>
      <c r="X2190" s="1"/>
    </row>
    <row r="2191" spans="4:24" ht="13.5" customHeight="1" x14ac:dyDescent="0.35">
      <c r="D2191" t="s">
        <v>5036</v>
      </c>
      <c r="G2191" s="155"/>
      <c r="H2191" s="155"/>
      <c r="I2191" s="155">
        <v>1</v>
      </c>
      <c r="J2191" s="413"/>
      <c r="K2191" s="132">
        <v>1</v>
      </c>
      <c r="L2191" s="155"/>
      <c r="M2191" s="155" t="str">
        <f>D2151</f>
        <v>uP has PORST# (power on reset pin), which it passes to fpga</v>
      </c>
      <c r="N2191" s="1"/>
      <c r="R2191" s="73"/>
      <c r="S2191" s="1"/>
      <c r="T2191" s="313"/>
      <c r="U2191" s="1"/>
      <c r="W2191" s="313"/>
      <c r="X2191" s="1"/>
    </row>
    <row r="2192" spans="4:24" ht="13.5" customHeight="1" x14ac:dyDescent="0.35">
      <c r="D2192" t="s">
        <v>5037</v>
      </c>
      <c r="G2192" s="132">
        <v>1</v>
      </c>
      <c r="H2192" s="155"/>
      <c r="I2192" s="155"/>
      <c r="J2192" s="413"/>
      <c r="K2192" s="132">
        <v>1</v>
      </c>
      <c r="L2192" s="155"/>
      <c r="M2192" s="155" t="str">
        <f>D2153</f>
        <v>uP passes clock to FPGA</v>
      </c>
      <c r="N2192" s="1"/>
      <c r="R2192" s="73"/>
      <c r="S2192" s="1"/>
      <c r="T2192" s="313"/>
      <c r="U2192" s="1"/>
      <c r="W2192" s="313"/>
      <c r="X2192" s="1"/>
    </row>
    <row r="2193" spans="1:24" ht="13.5" customHeight="1" x14ac:dyDescent="0.35">
      <c r="D2193" t="s">
        <v>5038</v>
      </c>
      <c r="G2193" s="132"/>
      <c r="H2193" s="155">
        <v>1</v>
      </c>
      <c r="I2193" s="155"/>
      <c r="J2193" s="500">
        <v>1</v>
      </c>
      <c r="K2193" s="132"/>
      <c r="L2193" s="155"/>
      <c r="M2193" s="155" t="str">
        <f>D2157</f>
        <v>fpga interrupts uP</v>
      </c>
      <c r="N2193" s="1"/>
      <c r="R2193" s="73"/>
      <c r="S2193" s="1"/>
      <c r="T2193" s="313"/>
      <c r="U2193" s="1"/>
      <c r="W2193" s="313"/>
      <c r="X2193" s="1"/>
    </row>
    <row r="2194" spans="1:24" ht="13.5" customHeight="1" x14ac:dyDescent="0.35">
      <c r="G2194" s="132"/>
      <c r="H2194" s="155"/>
      <c r="I2194" s="155"/>
      <c r="J2194" s="413"/>
      <c r="K2194" s="155"/>
      <c r="L2194" s="155"/>
      <c r="M2194" s="155"/>
      <c r="N2194" s="1"/>
      <c r="R2194" s="73"/>
      <c r="S2194" s="1"/>
      <c r="T2194" s="313"/>
      <c r="U2194" s="1"/>
      <c r="W2194" s="313"/>
      <c r="X2194" s="1"/>
    </row>
    <row r="2195" spans="1:24" s="5" customFormat="1" ht="16.5" customHeight="1" x14ac:dyDescent="0.35">
      <c r="A2195" s="86" t="s">
        <v>5028</v>
      </c>
    </row>
    <row r="2196" spans="1:24" ht="13.5" customHeight="1" x14ac:dyDescent="0.35">
      <c r="G2196" s="132"/>
      <c r="H2196" s="155"/>
      <c r="I2196" s="155"/>
      <c r="J2196" s="413"/>
      <c r="K2196" s="155"/>
      <c r="L2196" s="155"/>
      <c r="M2196" s="155"/>
      <c r="N2196" s="1"/>
      <c r="R2196" s="73"/>
      <c r="S2196" s="1"/>
      <c r="T2196" s="313"/>
      <c r="U2196" s="1"/>
      <c r="W2196" s="313"/>
      <c r="X2196" s="1"/>
    </row>
    <row r="2197" spans="1:24" ht="13.5" customHeight="1" x14ac:dyDescent="0.35">
      <c r="B2197" s="83" t="s">
        <v>4572</v>
      </c>
      <c r="D2197" t="s">
        <v>8225</v>
      </c>
      <c r="G2197" s="132"/>
      <c r="H2197" s="155"/>
      <c r="I2197" s="155"/>
      <c r="J2197" s="413"/>
      <c r="K2197" s="155"/>
      <c r="L2197" s="155"/>
      <c r="M2197" s="155"/>
      <c r="N2197" s="1"/>
      <c r="R2197" s="73"/>
      <c r="S2197" s="1"/>
      <c r="T2197" s="313"/>
      <c r="U2197" s="1"/>
      <c r="W2197" s="313"/>
      <c r="X2197" s="1"/>
    </row>
    <row r="2198" spans="1:24" ht="13.5" customHeight="1" x14ac:dyDescent="0.35">
      <c r="G2198" s="132"/>
      <c r="H2198" s="155"/>
      <c r="I2198" s="155"/>
      <c r="J2198" s="413"/>
      <c r="K2198" s="155"/>
      <c r="L2198" s="155"/>
      <c r="M2198" s="155"/>
      <c r="N2198" s="1"/>
      <c r="R2198" s="73"/>
      <c r="S2198" s="1"/>
      <c r="T2198" s="313"/>
      <c r="U2198" s="1"/>
      <c r="W2198" s="313"/>
      <c r="X2198" s="1"/>
    </row>
    <row r="2199" spans="1:24" ht="13.5" customHeight="1" x14ac:dyDescent="0.35">
      <c r="B2199" s="83" t="s">
        <v>712</v>
      </c>
      <c r="D2199" t="s">
        <v>8228</v>
      </c>
      <c r="G2199" s="132"/>
      <c r="H2199" s="155"/>
      <c r="I2199" s="1" t="s">
        <v>8218</v>
      </c>
      <c r="J2199" s="413"/>
      <c r="K2199" s="155"/>
      <c r="L2199" s="155"/>
      <c r="M2199" s="155"/>
      <c r="N2199" s="1"/>
      <c r="S2199" s="73" t="s">
        <v>0</v>
      </c>
      <c r="W2199" s="313"/>
      <c r="X2199" s="1"/>
    </row>
    <row r="2200" spans="1:24" ht="13.5" customHeight="1" x14ac:dyDescent="0.35">
      <c r="D2200" t="s">
        <v>8229</v>
      </c>
      <c r="I2200" s="1" t="s">
        <v>8221</v>
      </c>
      <c r="J2200" s="413"/>
      <c r="K2200" s="155"/>
      <c r="L2200" s="155"/>
      <c r="M2200" s="155"/>
      <c r="N2200" s="1"/>
      <c r="Q2200" s="1"/>
      <c r="S2200" s="73"/>
      <c r="U2200" s="1"/>
      <c r="W2200" s="313"/>
      <c r="X2200" s="1"/>
    </row>
    <row r="2201" spans="1:24" ht="13.5" customHeight="1" x14ac:dyDescent="0.35">
      <c r="D2201" t="s">
        <v>8227</v>
      </c>
      <c r="G2201" s="132"/>
      <c r="H2201" s="155"/>
      <c r="I2201" s="1" t="s">
        <v>8226</v>
      </c>
      <c r="J2201" s="413"/>
      <c r="K2201" s="155"/>
      <c r="L2201" s="155"/>
      <c r="M2201" s="155"/>
      <c r="N2201" s="1"/>
      <c r="Q2201" s="1"/>
      <c r="S2201" s="73"/>
      <c r="U2201" s="1"/>
      <c r="W2201" s="313"/>
      <c r="X2201" s="1"/>
    </row>
    <row r="2202" spans="1:24" ht="13.5" customHeight="1" x14ac:dyDescent="0.35">
      <c r="G2202" s="132"/>
      <c r="H2202" s="155"/>
      <c r="I2202" s="155"/>
      <c r="J2202" s="413"/>
      <c r="K2202" s="155"/>
      <c r="L2202" s="155"/>
      <c r="M2202" s="155"/>
      <c r="N2202" s="1"/>
      <c r="Q2202" s="1"/>
      <c r="S2202" s="73"/>
      <c r="U2202" s="1"/>
      <c r="W2202" s="313"/>
      <c r="X2202" s="1"/>
    </row>
    <row r="2203" spans="1:24" ht="13.5" customHeight="1" x14ac:dyDescent="0.35">
      <c r="B2203" s="83" t="s">
        <v>5034</v>
      </c>
      <c r="D2203" t="s">
        <v>5035</v>
      </c>
      <c r="G2203" s="132"/>
      <c r="H2203" s="155"/>
      <c r="I2203" s="1" t="s">
        <v>5033</v>
      </c>
      <c r="J2203" s="413" t="s">
        <v>0</v>
      </c>
      <c r="K2203" s="155"/>
      <c r="L2203" s="155"/>
      <c r="M2203" s="155"/>
      <c r="N2203" s="1"/>
      <c r="R2203" s="73"/>
      <c r="S2203" s="1"/>
      <c r="T2203" s="313"/>
      <c r="U2203" s="1"/>
      <c r="W2203" s="313"/>
      <c r="X2203" s="1"/>
    </row>
    <row r="2204" spans="1:24" ht="13.5" customHeight="1" x14ac:dyDescent="0.35">
      <c r="G2204" s="132"/>
      <c r="H2204" s="155"/>
      <c r="I2204" s="1"/>
      <c r="J2204" s="413"/>
      <c r="K2204" s="155"/>
      <c r="L2204" s="155"/>
      <c r="M2204" s="155"/>
      <c r="N2204" s="1"/>
      <c r="R2204" s="73"/>
      <c r="S2204" s="1"/>
      <c r="T2204" s="313"/>
      <c r="U2204" s="1"/>
      <c r="W2204" s="313"/>
      <c r="X2204" s="1"/>
    </row>
    <row r="2205" spans="1:24" ht="13.5" customHeight="1" x14ac:dyDescent="0.35">
      <c r="B2205" s="83" t="s">
        <v>3840</v>
      </c>
      <c r="D2205" t="s">
        <v>5030</v>
      </c>
      <c r="G2205" s="132"/>
      <c r="I2205" s="1" t="s">
        <v>5029</v>
      </c>
      <c r="J2205" s="413" t="s">
        <v>0</v>
      </c>
      <c r="K2205" s="155"/>
      <c r="L2205" s="155"/>
      <c r="M2205" s="155"/>
      <c r="N2205" s="1"/>
      <c r="R2205" s="73"/>
      <c r="S2205" s="1"/>
      <c r="T2205" s="313"/>
      <c r="U2205" s="1"/>
      <c r="W2205" s="313"/>
      <c r="X2205" s="1"/>
    </row>
    <row r="2206" spans="1:24" ht="13.5" customHeight="1" x14ac:dyDescent="0.35">
      <c r="D2206" t="s">
        <v>5031</v>
      </c>
      <c r="G2206" s="132"/>
      <c r="H2206" s="155"/>
      <c r="I2206" s="1" t="s">
        <v>5032</v>
      </c>
      <c r="J2206" s="413" t="s">
        <v>0</v>
      </c>
      <c r="K2206" s="155"/>
      <c r="L2206" s="155"/>
      <c r="M2206" s="155"/>
      <c r="N2206" s="1"/>
      <c r="R2206" s="73"/>
      <c r="S2206" s="1"/>
      <c r="T2206" s="313"/>
      <c r="U2206" s="1"/>
      <c r="W2206" s="313"/>
      <c r="X2206" s="1"/>
    </row>
    <row r="2207" spans="1:24" ht="13.5" customHeight="1" x14ac:dyDescent="0.35">
      <c r="G2207" s="132"/>
      <c r="H2207" s="155"/>
      <c r="I2207" s="1"/>
      <c r="J2207" s="413"/>
      <c r="K2207" s="155"/>
      <c r="L2207" s="155"/>
      <c r="M2207" s="155"/>
      <c r="N2207" s="1"/>
      <c r="R2207" s="73"/>
      <c r="S2207" s="1"/>
      <c r="T2207" s="313"/>
      <c r="U2207" s="1"/>
      <c r="W2207" s="313"/>
      <c r="X2207" s="1"/>
    </row>
    <row r="2208" spans="1:24" ht="13.5" customHeight="1" x14ac:dyDescent="0.35">
      <c r="B2208" s="83" t="s">
        <v>5055</v>
      </c>
      <c r="D2208" t="s">
        <v>5056</v>
      </c>
      <c r="G2208" s="132"/>
      <c r="H2208" s="155"/>
      <c r="I2208" s="1" t="s">
        <v>5054</v>
      </c>
      <c r="J2208" s="413" t="s">
        <v>0</v>
      </c>
      <c r="K2208" s="155"/>
      <c r="L2208" s="155"/>
      <c r="M2208" s="155"/>
      <c r="N2208" s="1"/>
      <c r="R2208" s="73"/>
      <c r="S2208" s="1"/>
      <c r="T2208" s="313"/>
      <c r="U2208" s="1"/>
      <c r="W2208" s="313"/>
      <c r="X2208" s="1"/>
    </row>
    <row r="2209" spans="2:25" ht="13.5" customHeight="1" x14ac:dyDescent="0.35">
      <c r="G2209" s="132"/>
      <c r="J2209" s="413"/>
      <c r="K2209" s="155"/>
      <c r="L2209" s="155"/>
      <c r="M2209" s="155"/>
      <c r="N2209" s="1"/>
      <c r="R2209" s="73"/>
      <c r="S2209" s="1"/>
      <c r="T2209" s="313"/>
      <c r="U2209" s="1"/>
      <c r="W2209" s="313"/>
      <c r="X2209" s="1"/>
    </row>
    <row r="2210" spans="2:25" ht="24.5" x14ac:dyDescent="0.35">
      <c r="B2210" s="83" t="s">
        <v>5028</v>
      </c>
      <c r="D2210" s="123" t="s">
        <v>2956</v>
      </c>
      <c r="G2210" s="123" t="s">
        <v>620</v>
      </c>
      <c r="J2210" s="123" t="s">
        <v>5042</v>
      </c>
      <c r="K2210" s="123" t="s">
        <v>5053</v>
      </c>
      <c r="L2210" s="123" t="s">
        <v>5043</v>
      </c>
      <c r="N2210" s="123" t="s">
        <v>5051</v>
      </c>
      <c r="O2210" s="123" t="s">
        <v>5045</v>
      </c>
      <c r="P2210" s="123" t="s">
        <v>5046</v>
      </c>
      <c r="Q2210" s="123" t="s">
        <v>5047</v>
      </c>
      <c r="R2210" s="123" t="s">
        <v>5049</v>
      </c>
      <c r="S2210" s="123" t="s">
        <v>5707</v>
      </c>
      <c r="U2210" s="123" t="s">
        <v>5505</v>
      </c>
    </row>
    <row r="2211" spans="2:25" x14ac:dyDescent="0.35">
      <c r="D2211" s="488" t="s">
        <v>5041</v>
      </c>
      <c r="G2211" s="336">
        <v>1.95</v>
      </c>
      <c r="H2211" t="s">
        <v>5040</v>
      </c>
      <c r="J2211">
        <v>256</v>
      </c>
      <c r="K2211">
        <v>32</v>
      </c>
      <c r="L2211">
        <v>78</v>
      </c>
      <c r="N2211" s="504" t="s">
        <v>3484</v>
      </c>
      <c r="O2211" s="504" t="s">
        <v>3484</v>
      </c>
      <c r="P2211" s="73" t="s">
        <v>3198</v>
      </c>
      <c r="Q2211" s="73" t="s">
        <v>3198</v>
      </c>
      <c r="R2211" s="73" t="s">
        <v>5048</v>
      </c>
      <c r="S2211">
        <v>3.3</v>
      </c>
    </row>
    <row r="2212" spans="2:25" x14ac:dyDescent="0.35">
      <c r="C2212" s="498" t="s">
        <v>3063</v>
      </c>
      <c r="D2212" s="177" t="s">
        <v>5052</v>
      </c>
      <c r="G2212" s="336">
        <v>2.67</v>
      </c>
      <c r="H2212" t="s">
        <v>5040</v>
      </c>
      <c r="J2212">
        <v>640</v>
      </c>
      <c r="K2212">
        <v>80</v>
      </c>
      <c r="L2212">
        <v>100</v>
      </c>
      <c r="N2212" s="73" t="s">
        <v>3198</v>
      </c>
      <c r="O2212" s="73" t="s">
        <v>3198</v>
      </c>
      <c r="P2212" s="73" t="s">
        <v>3919</v>
      </c>
      <c r="Q2212" s="73" t="s">
        <v>3919</v>
      </c>
      <c r="R2212" s="73" t="s">
        <v>5708</v>
      </c>
      <c r="S2212" s="73">
        <v>3.3</v>
      </c>
      <c r="U2212" s="1" t="s">
        <v>5504</v>
      </c>
      <c r="W2212" t="s">
        <v>0</v>
      </c>
      <c r="X2212" t="s">
        <v>8217</v>
      </c>
    </row>
    <row r="2213" spans="2:25" x14ac:dyDescent="0.35">
      <c r="D2213" s="177" t="s">
        <v>5506</v>
      </c>
      <c r="G2213" s="336">
        <v>3.55</v>
      </c>
      <c r="H2213" t="s">
        <v>5507</v>
      </c>
      <c r="N2213" s="504"/>
      <c r="O2213" s="73" t="s">
        <v>3919</v>
      </c>
      <c r="P2213" s="73" t="s">
        <v>3919</v>
      </c>
      <c r="Q2213" s="73" t="s">
        <v>3919</v>
      </c>
      <c r="R2213" s="73" t="s">
        <v>3919</v>
      </c>
      <c r="S2213" s="73" t="s">
        <v>3919</v>
      </c>
      <c r="T2213" s="1"/>
    </row>
    <row r="2214" spans="2:25" x14ac:dyDescent="0.35">
      <c r="D2214" t="s">
        <v>5044</v>
      </c>
      <c r="F2214" s="100"/>
      <c r="G2214" s="336">
        <v>1.4</v>
      </c>
      <c r="H2214" t="s">
        <v>5040</v>
      </c>
      <c r="J2214">
        <v>384</v>
      </c>
      <c r="K2214">
        <v>48</v>
      </c>
      <c r="L2214">
        <v>37</v>
      </c>
      <c r="N2214" s="73" t="s">
        <v>3198</v>
      </c>
      <c r="O2214" s="73" t="s">
        <v>3198</v>
      </c>
      <c r="P2214" s="73" t="s">
        <v>3198</v>
      </c>
      <c r="Q2214" s="504" t="s">
        <v>3484</v>
      </c>
      <c r="R2214" s="73" t="s">
        <v>5050</v>
      </c>
    </row>
    <row r="2215" spans="2:25" x14ac:dyDescent="0.35">
      <c r="F2215" s="100"/>
      <c r="G2215" s="336"/>
      <c r="N2215" s="73"/>
      <c r="O2215" s="73"/>
      <c r="P2215" s="73"/>
      <c r="Q2215" s="504"/>
      <c r="R2215" s="73"/>
    </row>
    <row r="2216" spans="2:25" x14ac:dyDescent="0.35">
      <c r="B2216" s="83" t="s">
        <v>5058</v>
      </c>
      <c r="D2216" s="123" t="s">
        <v>2956</v>
      </c>
      <c r="F2216" s="100"/>
      <c r="G2216" s="123" t="s">
        <v>620</v>
      </c>
      <c r="I2216" s="123" t="s">
        <v>5059</v>
      </c>
      <c r="J2216" s="123" t="s">
        <v>5060</v>
      </c>
      <c r="N2216" s="73"/>
      <c r="O2216" s="73"/>
      <c r="P2216" s="73"/>
      <c r="Q2216" s="504"/>
      <c r="R2216" s="73"/>
    </row>
    <row r="2217" spans="2:25" x14ac:dyDescent="0.35">
      <c r="D2217" t="s">
        <v>5366</v>
      </c>
      <c r="F2217" s="100"/>
      <c r="G2217" s="336">
        <v>0.95</v>
      </c>
      <c r="I2217" s="128" t="s">
        <v>5070</v>
      </c>
      <c r="J2217" s="313" t="s">
        <v>5061</v>
      </c>
      <c r="M2217" t="s">
        <v>5064</v>
      </c>
      <c r="N2217" s="73"/>
      <c r="O2217" s="1" t="s">
        <v>5065</v>
      </c>
      <c r="P2217" s="73" t="s">
        <v>0</v>
      </c>
      <c r="Q2217" s="504"/>
      <c r="R2217" s="73"/>
    </row>
    <row r="2218" spans="2:25" x14ac:dyDescent="0.35">
      <c r="D2218" t="s">
        <v>5062</v>
      </c>
      <c r="F2218" s="388"/>
      <c r="G2218" s="336">
        <v>0.35</v>
      </c>
      <c r="I2218" s="128" t="s">
        <v>5069</v>
      </c>
      <c r="J2218" s="313" t="s">
        <v>5063</v>
      </c>
      <c r="M2218" s="73"/>
      <c r="N2218" s="313"/>
      <c r="O2218" s="73"/>
      <c r="P2218" s="73"/>
      <c r="Q2218" s="313"/>
      <c r="S2218" s="1"/>
    </row>
    <row r="2219" spans="2:25" x14ac:dyDescent="0.35">
      <c r="D2219" t="s">
        <v>5066</v>
      </c>
      <c r="F2219" s="388"/>
      <c r="G2219" s="336">
        <v>0.1</v>
      </c>
      <c r="I2219" s="128" t="s">
        <v>5068</v>
      </c>
      <c r="J2219" s="313" t="s">
        <v>5067</v>
      </c>
      <c r="M2219" s="73"/>
      <c r="N2219" s="313"/>
      <c r="O2219" s="73"/>
      <c r="P2219" s="73"/>
      <c r="Q2219" s="313"/>
      <c r="S2219" s="1"/>
    </row>
    <row r="2220" spans="2:25" x14ac:dyDescent="0.35">
      <c r="F2220" s="388"/>
      <c r="G2220" s="336"/>
      <c r="I2220" s="73"/>
      <c r="J2220" s="313"/>
      <c r="M2220" s="73"/>
      <c r="N2220" s="313"/>
      <c r="O2220" s="73"/>
      <c r="R2220" s="313"/>
      <c r="T2220" s="1"/>
    </row>
    <row r="2221" spans="2:25" x14ac:dyDescent="0.35">
      <c r="B2221" s="83" t="s">
        <v>5369</v>
      </c>
      <c r="F2221" s="388"/>
      <c r="G2221" s="336"/>
      <c r="I2221" s="73"/>
      <c r="J2221" s="313"/>
      <c r="L2221" s="155"/>
      <c r="R2221" s="313"/>
      <c r="T2221" s="1"/>
    </row>
    <row r="2222" spans="2:25" ht="13.5" customHeight="1" x14ac:dyDescent="0.35">
      <c r="C2222" s="498" t="s">
        <v>3063</v>
      </c>
      <c r="D2222" t="s">
        <v>8220</v>
      </c>
      <c r="G2222" s="132"/>
      <c r="H2222" s="155" t="s">
        <v>5502</v>
      </c>
      <c r="J2222" t="s">
        <v>5503</v>
      </c>
      <c r="K2222" s="155"/>
      <c r="L2222" s="155"/>
      <c r="M2222" s="1" t="s">
        <v>5372</v>
      </c>
      <c r="N2222" s="1"/>
      <c r="O2222" t="s">
        <v>0</v>
      </c>
      <c r="P2222" t="s">
        <v>8223</v>
      </c>
      <c r="Q2222" s="1" t="s">
        <v>8218</v>
      </c>
      <c r="S2222" s="73" t="s">
        <v>0</v>
      </c>
      <c r="T2222" t="s">
        <v>8222</v>
      </c>
      <c r="U2222" s="1" t="s">
        <v>8221</v>
      </c>
      <c r="V2222" s="1"/>
      <c r="W2222" s="313"/>
      <c r="X2222" s="1"/>
    </row>
    <row r="2223" spans="2:25" x14ac:dyDescent="0.35">
      <c r="D2223" t="s">
        <v>8219</v>
      </c>
      <c r="G2223" s="132"/>
      <c r="H2223" t="s">
        <v>5501</v>
      </c>
      <c r="J2223" t="s">
        <v>5503</v>
      </c>
      <c r="K2223" s="155"/>
      <c r="L2223" s="155"/>
      <c r="M2223" s="1" t="s">
        <v>5370</v>
      </c>
      <c r="N2223" s="1"/>
      <c r="O2223" t="s">
        <v>0</v>
      </c>
      <c r="P2223" s="1"/>
    </row>
    <row r="2224" spans="2:25" ht="13.5" customHeight="1" x14ac:dyDescent="0.35">
      <c r="C2224" s="498" t="s">
        <v>0</v>
      </c>
      <c r="D2224" t="s">
        <v>8224</v>
      </c>
      <c r="F2224" s="388"/>
      <c r="G2224" s="336"/>
      <c r="M2224" s="1" t="s">
        <v>5373</v>
      </c>
      <c r="N2224" s="313"/>
      <c r="O2224" s="73" t="s">
        <v>0</v>
      </c>
      <c r="P2224" s="1" t="s">
        <v>5368</v>
      </c>
      <c r="Q2224" s="313"/>
      <c r="R2224" s="73"/>
      <c r="S2224" s="1"/>
      <c r="T2224" s="313"/>
      <c r="U2224" s="1"/>
      <c r="W2224" s="313"/>
      <c r="X2224" s="1"/>
      <c r="Y2224" t="s">
        <v>0</v>
      </c>
    </row>
    <row r="2225" spans="1:25" x14ac:dyDescent="0.35">
      <c r="S2225" s="1"/>
      <c r="W2225" t="s">
        <v>0</v>
      </c>
    </row>
    <row r="2226" spans="1:25" ht="13.5" customHeight="1" x14ac:dyDescent="0.35">
      <c r="B2226" s="83" t="s">
        <v>6441</v>
      </c>
      <c r="G2226" s="132"/>
      <c r="H2226" s="155"/>
      <c r="K2226" s="155"/>
      <c r="L2226" s="155"/>
      <c r="R2226" s="73"/>
      <c r="S2226" s="1"/>
      <c r="T2226" s="313"/>
      <c r="U2226" s="1"/>
      <c r="W2226" s="1"/>
      <c r="X2226" s="1"/>
    </row>
    <row r="2227" spans="1:25" ht="13.5" customHeight="1" x14ac:dyDescent="0.35">
      <c r="D2227" t="s">
        <v>5758</v>
      </c>
      <c r="G2227" s="132"/>
      <c r="H2227" s="155"/>
      <c r="K2227" s="155"/>
      <c r="L2227" s="155"/>
      <c r="O2227" t="s">
        <v>0</v>
      </c>
      <c r="R2227" s="73"/>
      <c r="S2227" s="1"/>
      <c r="T2227" s="313"/>
      <c r="U2227" s="1"/>
      <c r="W2227" s="1" t="s">
        <v>6443</v>
      </c>
      <c r="X2227" s="1"/>
      <c r="Y2227" t="s">
        <v>0</v>
      </c>
    </row>
    <row r="2228" spans="1:25" ht="13.5" customHeight="1" x14ac:dyDescent="0.35">
      <c r="D2228" t="s">
        <v>6439</v>
      </c>
      <c r="G2228" s="132"/>
      <c r="H2228" s="155"/>
      <c r="K2228" s="155"/>
      <c r="L2228" s="155"/>
      <c r="M2228" s="1"/>
      <c r="N2228" s="1"/>
      <c r="R2228" s="73"/>
      <c r="S2228" s="1"/>
      <c r="T2228" s="313"/>
      <c r="U2228" s="1"/>
      <c r="W2228" s="1" t="s">
        <v>6440</v>
      </c>
      <c r="X2228" s="1"/>
      <c r="Y2228" t="s">
        <v>0</v>
      </c>
    </row>
    <row r="2229" spans="1:25" ht="13.5" customHeight="1" x14ac:dyDescent="0.35">
      <c r="D2229" t="s">
        <v>6442</v>
      </c>
      <c r="G2229" s="132"/>
      <c r="H2229" s="155"/>
      <c r="K2229" s="155"/>
      <c r="L2229" s="155"/>
      <c r="M2229" s="1"/>
      <c r="N2229" s="1"/>
      <c r="R2229" s="73"/>
      <c r="S2229" s="1"/>
      <c r="T2229" s="313"/>
      <c r="U2229" s="1"/>
      <c r="W2229" s="1" t="s">
        <v>6443</v>
      </c>
      <c r="X2229" s="1"/>
      <c r="Y2229" t="s">
        <v>0</v>
      </c>
    </row>
    <row r="2230" spans="1:25" x14ac:dyDescent="0.35">
      <c r="F2230" s="388"/>
      <c r="G2230" s="336"/>
      <c r="I2230" s="1"/>
      <c r="J2230" s="313"/>
      <c r="M2230" s="1"/>
      <c r="N2230" s="313"/>
      <c r="O2230" s="73"/>
      <c r="P2230" s="73"/>
      <c r="Q2230" s="313"/>
      <c r="S2230" s="1"/>
    </row>
    <row r="2231" spans="1:25" s="5" customFormat="1" x14ac:dyDescent="0.35">
      <c r="A2231" s="86" t="s">
        <v>4783</v>
      </c>
    </row>
    <row r="2232" spans="1:25" x14ac:dyDescent="0.35">
      <c r="E2232" s="155"/>
      <c r="F2232" s="155"/>
      <c r="G2232" s="155"/>
      <c r="H2232" s="413"/>
      <c r="I2232" s="155"/>
      <c r="J2232" s="155"/>
      <c r="K2232" s="170"/>
      <c r="L2232" s="155"/>
      <c r="M2232" s="1"/>
      <c r="Q2232" s="73"/>
      <c r="R2232" s="1"/>
      <c r="T2232" s="313"/>
      <c r="U2232" s="1"/>
      <c r="W2232" s="313"/>
      <c r="X2232" s="1"/>
    </row>
    <row r="2233" spans="1:25" x14ac:dyDescent="0.35">
      <c r="B2233" s="83" t="s">
        <v>4783</v>
      </c>
      <c r="D2233" t="s">
        <v>4785</v>
      </c>
      <c r="E2233" s="155"/>
      <c r="F2233" s="155"/>
      <c r="G2233" s="155"/>
      <c r="H2233" s="413"/>
      <c r="I2233" s="155"/>
      <c r="J2233" s="155"/>
      <c r="K2233" s="170"/>
      <c r="L2233" s="155"/>
      <c r="M2233" s="1"/>
      <c r="Q2233" s="73"/>
      <c r="R2233" s="1"/>
      <c r="T2233" s="313"/>
      <c r="U2233" s="1"/>
      <c r="W2233" s="313"/>
      <c r="X2233" s="1"/>
    </row>
    <row r="2234" spans="1:25" x14ac:dyDescent="0.35">
      <c r="E2234" s="155"/>
      <c r="F2234" s="155"/>
      <c r="G2234" s="155"/>
      <c r="H2234" s="413"/>
      <c r="I2234" s="155"/>
      <c r="J2234" s="155"/>
      <c r="K2234" s="170"/>
      <c r="L2234" s="155"/>
      <c r="M2234" s="1"/>
      <c r="Q2234" s="73"/>
      <c r="R2234" s="1"/>
      <c r="T2234" s="313"/>
      <c r="U2234" s="1"/>
      <c r="W2234" s="313"/>
      <c r="X2234" s="1"/>
    </row>
    <row r="2235" spans="1:25" x14ac:dyDescent="0.35">
      <c r="B2235" s="83" t="s">
        <v>4784</v>
      </c>
      <c r="D2235" t="s">
        <v>4786</v>
      </c>
      <c r="E2235" s="155"/>
      <c r="F2235" s="155"/>
      <c r="G2235" s="155"/>
      <c r="H2235" s="413"/>
      <c r="I2235" s="155"/>
      <c r="J2235" s="155"/>
      <c r="K2235" s="170"/>
      <c r="L2235" s="155"/>
      <c r="M2235" s="1"/>
      <c r="Q2235" s="73"/>
      <c r="R2235" s="1"/>
      <c r="T2235" s="313"/>
      <c r="U2235" s="1"/>
      <c r="W2235" s="313"/>
      <c r="X2235" s="1"/>
    </row>
    <row r="2236" spans="1:25" x14ac:dyDescent="0.35">
      <c r="E2236" s="155"/>
      <c r="F2236" s="155"/>
      <c r="G2236" s="155"/>
      <c r="H2236" s="413"/>
      <c r="I2236" s="155"/>
      <c r="J2236" s="155"/>
      <c r="K2236" s="170"/>
      <c r="L2236" s="155"/>
      <c r="M2236" s="1"/>
      <c r="Q2236" s="73"/>
      <c r="R2236" s="1"/>
      <c r="T2236" s="313"/>
      <c r="U2236" s="1"/>
      <c r="W2236" s="313"/>
      <c r="X2236" s="1"/>
    </row>
    <row r="2237" spans="1:25" x14ac:dyDescent="0.35">
      <c r="B2237" s="83" t="s">
        <v>8184</v>
      </c>
      <c r="D2237" t="s">
        <v>8174</v>
      </c>
    </row>
    <row r="2238" spans="1:25" x14ac:dyDescent="0.35">
      <c r="D2238" t="s">
        <v>8175</v>
      </c>
    </row>
    <row r="2239" spans="1:25" x14ac:dyDescent="0.35">
      <c r="E2239" s="12"/>
      <c r="G2239" s="10"/>
      <c r="H2239" s="10"/>
      <c r="J2239" s="10"/>
      <c r="K2239" s="13"/>
    </row>
    <row r="2240" spans="1:25" ht="24.5" x14ac:dyDescent="0.35">
      <c r="D2240" s="123" t="s">
        <v>8168</v>
      </c>
      <c r="E2240" s="12"/>
      <c r="F2240" s="123" t="s">
        <v>8159</v>
      </c>
      <c r="G2240" s="123" t="s">
        <v>8173</v>
      </c>
      <c r="H2240" s="123" t="s">
        <v>8157</v>
      </c>
      <c r="I2240" s="123" t="s">
        <v>8158</v>
      </c>
    </row>
    <row r="2241" spans="1:24" x14ac:dyDescent="0.35">
      <c r="D2241" t="s">
        <v>8169</v>
      </c>
      <c r="E2241" s="12"/>
      <c r="F2241" s="852">
        <f>F3169</f>
        <v>0.22020531964535695</v>
      </c>
      <c r="G2241" s="892">
        <v>10000</v>
      </c>
      <c r="H2241" s="15">
        <f>1000000*F2241/G2241</f>
        <v>22.020531964535692</v>
      </c>
      <c r="I2241" s="10">
        <f>H2241*0.000001*D$3439+F2241</f>
        <v>0.88082127858142767</v>
      </c>
      <c r="K2241" t="s">
        <v>7729</v>
      </c>
    </row>
    <row r="2242" spans="1:24" x14ac:dyDescent="0.35">
      <c r="D2242" t="s">
        <v>8170</v>
      </c>
      <c r="E2242" s="12"/>
      <c r="F2242" s="10">
        <f>F$2241</f>
        <v>0.22020531964535695</v>
      </c>
      <c r="G2242" s="870">
        <v>24000</v>
      </c>
      <c r="H2242" s="15">
        <f t="shared" ref="H2242" si="89">1000000*F2242/G2242</f>
        <v>9.1752216518898724</v>
      </c>
      <c r="I2242" s="10">
        <f>H2242*0.000001*D$3439+F2242</f>
        <v>0.4954619692020531</v>
      </c>
    </row>
    <row r="2243" spans="1:24" x14ac:dyDescent="0.35">
      <c r="D2243" t="s">
        <v>8171</v>
      </c>
      <c r="E2243" s="12"/>
      <c r="F2243" s="10">
        <f>F$2241</f>
        <v>0.22020531964535695</v>
      </c>
      <c r="G2243" s="870">
        <v>33000</v>
      </c>
      <c r="H2243" s="15">
        <f>1000000*F2243/G2243</f>
        <v>6.6728884741017254</v>
      </c>
      <c r="I2243" s="10">
        <f>H2243*0.000001*D$3439+F2243</f>
        <v>0.42039197386840865</v>
      </c>
    </row>
    <row r="2244" spans="1:24" x14ac:dyDescent="0.35">
      <c r="D2244" t="s">
        <v>8172</v>
      </c>
      <c r="E2244" s="12"/>
      <c r="F2244" s="10">
        <f>F$2241</f>
        <v>0.22020531964535695</v>
      </c>
      <c r="G2244" s="870">
        <v>100000</v>
      </c>
      <c r="H2244" s="15">
        <f>1000000*F2244/G2244</f>
        <v>2.2020531964535692</v>
      </c>
      <c r="I2244" s="10">
        <f>H2244*0.000001*D$3439+F2244</f>
        <v>0.286266915538964</v>
      </c>
    </row>
    <row r="2245" spans="1:24" x14ac:dyDescent="0.35">
      <c r="E2245" s="155"/>
      <c r="F2245" s="155"/>
      <c r="G2245" s="155"/>
      <c r="H2245" s="413"/>
      <c r="I2245" s="155"/>
      <c r="J2245" s="155"/>
      <c r="K2245" s="170"/>
      <c r="L2245" s="155"/>
      <c r="M2245" s="1"/>
      <c r="Q2245" s="73"/>
      <c r="R2245" s="1"/>
      <c r="T2245" s="313"/>
      <c r="U2245" s="1"/>
      <c r="W2245" s="313"/>
      <c r="X2245" s="1"/>
    </row>
    <row r="2246" spans="1:24" x14ac:dyDescent="0.35">
      <c r="E2246" s="155"/>
      <c r="F2246" s="155"/>
      <c r="G2246" s="155"/>
      <c r="H2246" s="413"/>
      <c r="I2246" s="155"/>
      <c r="J2246" s="155"/>
      <c r="K2246" s="170"/>
      <c r="L2246" s="155"/>
      <c r="M2246" s="1"/>
      <c r="Q2246" s="73"/>
      <c r="R2246" s="1"/>
      <c r="T2246" s="313"/>
      <c r="U2246" s="1"/>
      <c r="W2246" s="313"/>
      <c r="X2246" s="1"/>
    </row>
    <row r="2247" spans="1:24" s="5" customFormat="1" x14ac:dyDescent="0.35">
      <c r="A2247" s="86" t="s">
        <v>7958</v>
      </c>
    </row>
    <row r="2248" spans="1:24" x14ac:dyDescent="0.35">
      <c r="D2248" s="295"/>
      <c r="E2248" s="155"/>
      <c r="F2248" s="155"/>
      <c r="G2248" s="155"/>
      <c r="H2248" s="155"/>
      <c r="I2248" s="155"/>
      <c r="J2248" s="155"/>
      <c r="K2248" s="170"/>
      <c r="L2248" s="155"/>
      <c r="M2248" s="1"/>
      <c r="Q2248" s="73"/>
      <c r="R2248" s="1"/>
      <c r="T2248" s="313"/>
      <c r="U2248" s="1"/>
      <c r="W2248" s="313"/>
      <c r="X2248" s="1"/>
    </row>
    <row r="2249" spans="1:24" x14ac:dyDescent="0.35">
      <c r="B2249" s="83" t="s">
        <v>4781</v>
      </c>
      <c r="D2249" s="295"/>
      <c r="E2249" s="155"/>
      <c r="F2249" s="155"/>
      <c r="G2249" s="155"/>
      <c r="H2249" s="155"/>
      <c r="I2249" s="155"/>
      <c r="J2249" s="155"/>
      <c r="K2249" s="170"/>
      <c r="L2249" s="155"/>
      <c r="M2249" s="1"/>
      <c r="Q2249" s="73"/>
      <c r="R2249" s="1"/>
      <c r="T2249" s="313"/>
      <c r="U2249" s="1"/>
      <c r="W2249" s="313"/>
      <c r="X2249" s="1"/>
    </row>
    <row r="2250" spans="1:24" x14ac:dyDescent="0.35">
      <c r="D2250" t="s">
        <v>4745</v>
      </c>
      <c r="E2250" s="155"/>
      <c r="F2250" s="155"/>
      <c r="G2250" s="155"/>
      <c r="H2250" s="155"/>
      <c r="I2250" s="155"/>
      <c r="J2250" s="155"/>
      <c r="K2250" s="170"/>
      <c r="L2250" s="155"/>
      <c r="M2250" s="1"/>
      <c r="Q2250" s="73"/>
      <c r="R2250" s="1"/>
      <c r="T2250" s="313"/>
      <c r="U2250" s="1"/>
      <c r="W2250" s="313"/>
      <c r="X2250" s="1"/>
    </row>
    <row r="2251" spans="1:24" x14ac:dyDescent="0.35">
      <c r="D2251" t="s">
        <v>4789</v>
      </c>
      <c r="E2251" s="155"/>
      <c r="F2251" s="155"/>
      <c r="G2251" s="155"/>
      <c r="H2251" s="155"/>
      <c r="I2251" s="155"/>
      <c r="J2251" s="155"/>
      <c r="K2251" s="170"/>
      <c r="L2251" s="155"/>
      <c r="M2251" s="1"/>
      <c r="Q2251" s="73"/>
      <c r="R2251" s="1"/>
      <c r="T2251" s="313"/>
      <c r="U2251" s="1"/>
      <c r="W2251" s="313"/>
      <c r="X2251" s="1"/>
    </row>
    <row r="2252" spans="1:24" x14ac:dyDescent="0.35">
      <c r="D2252" t="s">
        <v>4790</v>
      </c>
      <c r="E2252" s="155"/>
      <c r="F2252" s="155"/>
      <c r="G2252" s="155"/>
      <c r="H2252" s="155"/>
      <c r="I2252" s="155"/>
      <c r="J2252" s="155"/>
      <c r="K2252" s="170"/>
      <c r="L2252" s="155"/>
      <c r="M2252" s="1"/>
      <c r="Q2252" s="73"/>
      <c r="R2252" s="1"/>
      <c r="T2252" s="313"/>
      <c r="U2252" s="1"/>
      <c r="W2252" s="313"/>
      <c r="X2252" s="1"/>
    </row>
    <row r="2253" spans="1:24" x14ac:dyDescent="0.35">
      <c r="E2253" s="155"/>
      <c r="F2253" s="155"/>
      <c r="G2253" s="155"/>
      <c r="H2253" s="155"/>
      <c r="I2253" s="155"/>
      <c r="J2253" s="155"/>
      <c r="K2253" s="170"/>
      <c r="L2253" s="155"/>
      <c r="M2253" s="1"/>
      <c r="Q2253" s="73"/>
      <c r="R2253" s="1"/>
      <c r="T2253" s="313"/>
      <c r="U2253" s="1"/>
      <c r="W2253" s="313"/>
      <c r="X2253" s="1"/>
    </row>
    <row r="2254" spans="1:24" x14ac:dyDescent="0.35">
      <c r="B2254" s="83" t="s">
        <v>4782</v>
      </c>
      <c r="E2254" s="155"/>
      <c r="F2254" s="155"/>
      <c r="G2254" s="155"/>
      <c r="H2254" s="155"/>
      <c r="I2254" s="155"/>
      <c r="J2254" s="155"/>
      <c r="K2254" s="170"/>
      <c r="L2254" s="155"/>
      <c r="M2254" s="1"/>
      <c r="Q2254" s="73"/>
      <c r="R2254" s="1"/>
      <c r="T2254" s="313"/>
      <c r="U2254" s="1"/>
      <c r="W2254" s="313"/>
      <c r="X2254" s="1"/>
    </row>
    <row r="2255" spans="1:24" x14ac:dyDescent="0.35">
      <c r="D2255" t="s">
        <v>4788</v>
      </c>
      <c r="E2255" s="155"/>
      <c r="F2255" s="155"/>
      <c r="G2255" s="155"/>
      <c r="H2255" s="155"/>
      <c r="I2255" s="155"/>
      <c r="J2255" s="155"/>
      <c r="K2255" s="170"/>
      <c r="L2255" s="155"/>
      <c r="M2255" s="1"/>
      <c r="Q2255" s="73"/>
      <c r="R2255" s="1"/>
      <c r="T2255" s="313"/>
      <c r="U2255" s="1"/>
      <c r="W2255" s="313"/>
      <c r="X2255" s="1"/>
    </row>
    <row r="2256" spans="1:24" x14ac:dyDescent="0.35">
      <c r="D2256" t="s">
        <v>4787</v>
      </c>
      <c r="E2256" s="155"/>
      <c r="F2256" s="155"/>
      <c r="G2256" s="155"/>
      <c r="H2256" s="155"/>
      <c r="I2256" s="155"/>
      <c r="J2256" s="155"/>
      <c r="K2256" s="170"/>
      <c r="L2256" s="155"/>
      <c r="M2256" s="1"/>
      <c r="Q2256" s="73"/>
      <c r="R2256" s="1"/>
      <c r="T2256" s="313"/>
      <c r="U2256" s="1"/>
      <c r="W2256" s="313"/>
      <c r="X2256" s="1"/>
    </row>
    <row r="2257" spans="1:24" x14ac:dyDescent="0.35">
      <c r="E2257" s="155"/>
      <c r="F2257" s="155"/>
      <c r="G2257" s="155"/>
      <c r="H2257" s="155"/>
      <c r="I2257" s="155"/>
      <c r="J2257" s="155"/>
      <c r="K2257" s="170"/>
      <c r="L2257" s="155"/>
      <c r="M2257" s="1"/>
      <c r="Q2257" s="73"/>
      <c r="R2257" s="1"/>
      <c r="T2257" s="313"/>
      <c r="U2257" s="1"/>
      <c r="W2257" s="313"/>
      <c r="X2257" s="1"/>
    </row>
    <row r="2258" spans="1:24" s="5" customFormat="1" x14ac:dyDescent="0.35">
      <c r="A2258" s="86" t="s">
        <v>9297</v>
      </c>
    </row>
    <row r="2259" spans="1:24" x14ac:dyDescent="0.35">
      <c r="E2259" s="155"/>
      <c r="F2259" s="155"/>
      <c r="H2259" s="155"/>
      <c r="I2259" s="155"/>
      <c r="J2259" s="170"/>
      <c r="K2259" s="155"/>
      <c r="L2259" s="1"/>
      <c r="Q2259" s="73"/>
      <c r="R2259" s="1"/>
      <c r="T2259" s="313"/>
      <c r="U2259" s="1"/>
      <c r="W2259" s="313"/>
      <c r="X2259" s="1"/>
    </row>
    <row r="2260" spans="1:24" ht="36.5" x14ac:dyDescent="0.35">
      <c r="B2260" s="83" t="s">
        <v>5586</v>
      </c>
      <c r="D2260" s="307" t="s">
        <v>5981</v>
      </c>
      <c r="E2260" s="307" t="s">
        <v>9298</v>
      </c>
      <c r="F2260" s="307" t="s">
        <v>9299</v>
      </c>
      <c r="G2260" s="307" t="s">
        <v>5983</v>
      </c>
      <c r="H2260" s="307" t="s">
        <v>9300</v>
      </c>
      <c r="I2260" s="307" t="s">
        <v>9301</v>
      </c>
      <c r="K2260" s="307" t="s">
        <v>5988</v>
      </c>
      <c r="O2260" s="307" t="s">
        <v>5985</v>
      </c>
      <c r="P2260" s="155"/>
      <c r="Q2260" s="170"/>
      <c r="S2260" s="155"/>
      <c r="W2260" s="73"/>
      <c r="X2260" s="1"/>
    </row>
    <row r="2261" spans="1:24" s="540" customFormat="1" ht="13" x14ac:dyDescent="0.3">
      <c r="A2261" s="538"/>
      <c r="B2261" s="539"/>
      <c r="D2261" s="540" t="s">
        <v>5587</v>
      </c>
      <c r="E2261" s="540" t="s">
        <v>3116</v>
      </c>
      <c r="F2261" s="540" t="s">
        <v>5589</v>
      </c>
      <c r="G2261" s="540" t="s">
        <v>3116</v>
      </c>
      <c r="H2261" s="540" t="s">
        <v>3116</v>
      </c>
      <c r="I2261" s="566" t="s">
        <v>5984</v>
      </c>
      <c r="K2261" s="540" t="s">
        <v>5989</v>
      </c>
      <c r="O2261" s="540" t="s">
        <v>5588</v>
      </c>
      <c r="Q2261" s="541"/>
      <c r="W2261" s="543"/>
      <c r="X2261" s="542"/>
    </row>
    <row r="2262" spans="1:24" s="540" customFormat="1" ht="13" x14ac:dyDescent="0.3">
      <c r="A2262" s="538"/>
      <c r="B2262" s="539"/>
      <c r="D2262" s="540" t="s">
        <v>5982</v>
      </c>
      <c r="E2262" s="540" t="s">
        <v>5982</v>
      </c>
      <c r="F2262" s="540" t="s">
        <v>5589</v>
      </c>
      <c r="G2262" s="566" t="s">
        <v>5984</v>
      </c>
      <c r="H2262" s="566" t="s">
        <v>5984</v>
      </c>
      <c r="I2262" s="566" t="s">
        <v>5984</v>
      </c>
      <c r="K2262" s="540" t="s">
        <v>5990</v>
      </c>
      <c r="O2262" s="540" t="s">
        <v>122</v>
      </c>
      <c r="Q2262" s="541"/>
      <c r="W2262" s="543"/>
      <c r="X2262" s="542"/>
    </row>
    <row r="2263" spans="1:24" s="295" customFormat="1" ht="13" x14ac:dyDescent="0.3">
      <c r="A2263" s="310"/>
      <c r="B2263" s="544"/>
      <c r="D2263" s="540" t="s">
        <v>5982</v>
      </c>
      <c r="E2263" s="540" t="s">
        <v>5982</v>
      </c>
      <c r="F2263" s="540" t="s">
        <v>5590</v>
      </c>
      <c r="G2263" s="566" t="s">
        <v>5984</v>
      </c>
      <c r="H2263" s="566" t="s">
        <v>5984</v>
      </c>
      <c r="I2263" s="566" t="s">
        <v>5984</v>
      </c>
      <c r="K2263" s="540" t="s">
        <v>5991</v>
      </c>
      <c r="O2263" s="540" t="s">
        <v>5591</v>
      </c>
      <c r="Q2263" s="545"/>
      <c r="W2263" s="313"/>
      <c r="X2263" s="334"/>
    </row>
    <row r="2264" spans="1:24" s="295" customFormat="1" ht="12" x14ac:dyDescent="0.3">
      <c r="A2264" s="310"/>
      <c r="B2264" s="544"/>
      <c r="I2264" s="545"/>
      <c r="K2264" s="334"/>
      <c r="P2264" s="313"/>
      <c r="Q2264" s="334"/>
      <c r="T2264" s="313"/>
      <c r="U2264" s="334"/>
      <c r="W2264" s="313"/>
      <c r="X2264" s="334"/>
    </row>
    <row r="2265" spans="1:24" s="295" customFormat="1" ht="13" x14ac:dyDescent="0.3">
      <c r="A2265" s="310"/>
      <c r="B2265" s="544"/>
      <c r="D2265" s="540" t="s">
        <v>5982</v>
      </c>
      <c r="E2265" s="540" t="s">
        <v>5982</v>
      </c>
      <c r="G2265" s="566" t="s">
        <v>5984</v>
      </c>
      <c r="H2265" s="566" t="s">
        <v>5984</v>
      </c>
      <c r="I2265" s="566" t="s">
        <v>5984</v>
      </c>
      <c r="K2265" s="295" t="s">
        <v>5986</v>
      </c>
      <c r="P2265" s="313"/>
      <c r="Q2265" s="334"/>
      <c r="T2265" s="313"/>
      <c r="U2265" s="334"/>
      <c r="W2265" s="313"/>
      <c r="X2265" s="334"/>
    </row>
    <row r="2266" spans="1:24" s="295" customFormat="1" ht="13" x14ac:dyDescent="0.3">
      <c r="A2266" s="310"/>
      <c r="B2266" s="544"/>
      <c r="D2266" s="540" t="s">
        <v>5587</v>
      </c>
      <c r="E2266" s="540" t="s">
        <v>3116</v>
      </c>
      <c r="G2266" s="566" t="s">
        <v>5984</v>
      </c>
      <c r="H2266" s="540" t="s">
        <v>3116</v>
      </c>
      <c r="I2266" s="540" t="s">
        <v>3116</v>
      </c>
      <c r="K2266" s="295" t="s">
        <v>5987</v>
      </c>
      <c r="P2266" s="313"/>
      <c r="Q2266" s="334"/>
      <c r="T2266" s="313"/>
      <c r="U2266" s="334"/>
      <c r="W2266" s="313"/>
      <c r="X2266" s="334"/>
    </row>
    <row r="2267" spans="1:24" s="295" customFormat="1" ht="13" x14ac:dyDescent="0.3">
      <c r="A2267" s="310"/>
      <c r="B2267" s="544"/>
      <c r="D2267" s="540"/>
      <c r="E2267" s="540"/>
      <c r="G2267" s="566"/>
      <c r="H2267" s="540"/>
      <c r="I2267" s="540"/>
      <c r="P2267" s="313"/>
      <c r="Q2267" s="334"/>
      <c r="T2267" s="313"/>
      <c r="U2267" s="334"/>
      <c r="W2267" s="313"/>
      <c r="X2267" s="334"/>
    </row>
    <row r="2268" spans="1:24" s="295" customFormat="1" x14ac:dyDescent="0.35">
      <c r="A2268" s="310"/>
      <c r="B2268" s="83" t="s">
        <v>7618</v>
      </c>
      <c r="D2268" s="307" t="s">
        <v>9481</v>
      </c>
      <c r="E2268" s="540"/>
      <c r="F2268" s="307" t="s">
        <v>2959</v>
      </c>
      <c r="G2268" s="566"/>
      <c r="H2268" s="295" t="s">
        <v>9483</v>
      </c>
      <c r="I2268" s="307" t="s">
        <v>9482</v>
      </c>
      <c r="L2268" s="307" t="s">
        <v>2969</v>
      </c>
      <c r="P2268" s="313"/>
      <c r="Q2268" s="334"/>
      <c r="T2268" s="313"/>
      <c r="U2268" s="334"/>
      <c r="W2268" s="313"/>
      <c r="X2268" s="334"/>
    </row>
    <row r="2269" spans="1:24" s="295" customFormat="1" ht="13" x14ac:dyDescent="0.3">
      <c r="A2269" s="310"/>
      <c r="B2269" s="544"/>
      <c r="D2269" s="295" t="s">
        <v>9480</v>
      </c>
      <c r="E2269" s="540"/>
      <c r="F2269" s="540">
        <v>48</v>
      </c>
      <c r="G2269" s="566"/>
      <c r="H2269" s="295" t="s">
        <v>9484</v>
      </c>
      <c r="I2269" s="540" t="s">
        <v>9485</v>
      </c>
      <c r="J2269" s="540">
        <v>60</v>
      </c>
      <c r="L2269" s="540">
        <v>24</v>
      </c>
      <c r="P2269" s="313"/>
      <c r="Q2269" s="334"/>
      <c r="T2269" s="313"/>
      <c r="U2269" s="334"/>
      <c r="W2269" s="313"/>
      <c r="X2269" s="334"/>
    </row>
    <row r="2270" spans="1:24" s="295" customFormat="1" ht="13" x14ac:dyDescent="0.3">
      <c r="A2270" s="310"/>
      <c r="B2270" s="544"/>
      <c r="D2270" s="540"/>
      <c r="E2270" s="540"/>
      <c r="G2270" s="566"/>
      <c r="H2270" s="540"/>
      <c r="I2270" s="540"/>
      <c r="P2270" s="313"/>
      <c r="Q2270" s="334"/>
      <c r="T2270" s="313"/>
      <c r="U2270" s="334"/>
      <c r="W2270" s="313"/>
      <c r="X2270" s="334"/>
    </row>
    <row r="2271" spans="1:24" s="295" customFormat="1" ht="13" x14ac:dyDescent="0.3">
      <c r="A2271" s="310"/>
      <c r="B2271" s="544"/>
      <c r="D2271" s="540"/>
      <c r="E2271" s="540"/>
      <c r="G2271" s="566"/>
      <c r="H2271" s="540"/>
      <c r="I2271" s="540"/>
      <c r="P2271" s="313"/>
      <c r="Q2271" s="334"/>
      <c r="T2271" s="313"/>
      <c r="U2271" s="334"/>
      <c r="W2271" s="313"/>
      <c r="X2271" s="334"/>
    </row>
    <row r="2272" spans="1:24" x14ac:dyDescent="0.35">
      <c r="D2272" s="295"/>
      <c r="E2272" s="155"/>
      <c r="F2272" s="155"/>
      <c r="G2272" s="155"/>
      <c r="H2272" s="155"/>
      <c r="I2272" s="155"/>
      <c r="J2272" s="155"/>
      <c r="K2272" s="170"/>
      <c r="L2272" s="155"/>
      <c r="M2272" s="1"/>
      <c r="Q2272" s="73"/>
      <c r="R2272" s="1"/>
      <c r="T2272" s="313"/>
      <c r="U2272" s="1"/>
      <c r="W2272" s="313"/>
      <c r="X2272" s="1"/>
    </row>
    <row r="2273" spans="1:24" s="5" customFormat="1" x14ac:dyDescent="0.35">
      <c r="A2273" s="86" t="s">
        <v>7957</v>
      </c>
    </row>
    <row r="2274" spans="1:24" x14ac:dyDescent="0.35">
      <c r="E2274" s="155"/>
      <c r="F2274" s="155"/>
      <c r="G2274" s="155"/>
      <c r="H2274" s="155"/>
      <c r="I2274" s="155"/>
      <c r="J2274" s="155"/>
      <c r="K2274" s="170"/>
      <c r="L2274" s="155"/>
      <c r="M2274" s="1"/>
      <c r="Q2274" s="73"/>
      <c r="R2274" s="1"/>
      <c r="T2274" s="313"/>
      <c r="U2274" s="1"/>
      <c r="W2274" s="313"/>
      <c r="X2274" s="1"/>
    </row>
    <row r="2275" spans="1:24" x14ac:dyDescent="0.35">
      <c r="B2275" s="83" t="s">
        <v>3951</v>
      </c>
      <c r="D2275" s="155" t="s">
        <v>8334</v>
      </c>
      <c r="E2275" s="155"/>
      <c r="F2275" s="155"/>
      <c r="G2275" s="155"/>
      <c r="H2275" s="155"/>
      <c r="I2275" s="155"/>
      <c r="J2275" s="155"/>
      <c r="K2275" s="170"/>
      <c r="L2275" s="155"/>
      <c r="M2275" s="1"/>
      <c r="Q2275" s="73"/>
      <c r="R2275" s="1"/>
      <c r="T2275" s="313"/>
      <c r="U2275" s="1"/>
      <c r="W2275" s="313"/>
      <c r="X2275" s="1"/>
    </row>
    <row r="2276" spans="1:24" x14ac:dyDescent="0.35">
      <c r="H2276" s="155"/>
      <c r="I2276" s="155"/>
      <c r="J2276" s="155"/>
      <c r="K2276" s="170"/>
      <c r="L2276" s="155"/>
      <c r="M2276" s="1"/>
      <c r="Q2276" s="73"/>
      <c r="R2276" s="1"/>
      <c r="T2276" s="313"/>
      <c r="U2276" s="1"/>
      <c r="W2276" s="313"/>
      <c r="X2276" s="1"/>
    </row>
    <row r="2277" spans="1:24" x14ac:dyDescent="0.35">
      <c r="B2277" s="83" t="s">
        <v>4791</v>
      </c>
      <c r="D2277" s="484"/>
      <c r="E2277" s="12"/>
      <c r="F2277" s="12"/>
      <c r="H2277" s="13"/>
      <c r="I2277" s="10"/>
      <c r="J2277" s="15"/>
      <c r="M2277" s="12"/>
      <c r="N2277" s="12"/>
    </row>
    <row r="2278" spans="1:24" ht="36.5" x14ac:dyDescent="0.35">
      <c r="D2278" s="307" t="s">
        <v>4730</v>
      </c>
      <c r="E2278" s="307" t="s">
        <v>238</v>
      </c>
      <c r="F2278" s="307" t="s">
        <v>4795</v>
      </c>
      <c r="G2278" s="307" t="s">
        <v>4476</v>
      </c>
      <c r="H2278" s="307" t="s">
        <v>4338</v>
      </c>
      <c r="I2278" s="307" t="s">
        <v>4472</v>
      </c>
      <c r="J2278" s="307" t="s">
        <v>4736</v>
      </c>
      <c r="K2278" s="307" t="s">
        <v>4742</v>
      </c>
      <c r="L2278" s="307" t="s">
        <v>4792</v>
      </c>
      <c r="M2278" s="307" t="s">
        <v>4735</v>
      </c>
      <c r="O2278" s="307" t="s">
        <v>4744</v>
      </c>
      <c r="P2278" s="426"/>
      <c r="Q2278" s="4"/>
      <c r="R2278" s="4"/>
      <c r="S2278" s="4"/>
    </row>
    <row r="2279" spans="1:24" x14ac:dyDescent="0.35">
      <c r="D2279" s="128">
        <v>24</v>
      </c>
      <c r="E2279" s="10">
        <f>0.025</f>
        <v>2.5000000000000001E-2</v>
      </c>
      <c r="F2279">
        <v>50</v>
      </c>
      <c r="G2279">
        <f>F2279*2</f>
        <v>100</v>
      </c>
      <c r="H2279" s="12">
        <f>G2279*E2279</f>
        <v>2.5</v>
      </c>
      <c r="I2279">
        <v>1</v>
      </c>
      <c r="J2279" s="493">
        <v>2.4E-2</v>
      </c>
      <c r="K2279" s="220">
        <f xml:space="preserve"> J2279  *H2279</f>
        <v>0.06</v>
      </c>
      <c r="L2279" s="220">
        <f>K2279/2</f>
        <v>0.03</v>
      </c>
      <c r="M2279" s="335">
        <f>(J2279 )*(K2279 )</f>
        <v>1.4399999999999999E-3</v>
      </c>
      <c r="O2279" s="486" t="s">
        <v>4793</v>
      </c>
      <c r="P2279" s="12"/>
    </row>
    <row r="2280" spans="1:24" x14ac:dyDescent="0.35">
      <c r="D2280" s="128" t="s">
        <v>4796</v>
      </c>
      <c r="E2280" s="10">
        <f>0.04/2</f>
        <v>0.02</v>
      </c>
      <c r="F2280">
        <v>100</v>
      </c>
      <c r="G2280">
        <f t="shared" ref="G2280:G2282" si="90">F2280*2</f>
        <v>200</v>
      </c>
      <c r="H2280" s="12">
        <f>G2280*E2280</f>
        <v>4</v>
      </c>
      <c r="I2280">
        <v>1</v>
      </c>
      <c r="J2280" s="391">
        <f>J2279</f>
        <v>2.4E-2</v>
      </c>
      <c r="K2280" s="220">
        <f xml:space="preserve"> J2280  *H2280</f>
        <v>9.6000000000000002E-2</v>
      </c>
      <c r="L2280" s="220">
        <f>K2280/2</f>
        <v>4.8000000000000001E-2</v>
      </c>
      <c r="M2280" s="335">
        <f>(J2280 )*(K2280 )</f>
        <v>2.3040000000000001E-3</v>
      </c>
      <c r="O2280" s="486"/>
      <c r="P2280" s="12"/>
    </row>
    <row r="2281" spans="1:24" x14ac:dyDescent="0.35">
      <c r="D2281" s="128">
        <v>24</v>
      </c>
      <c r="E2281" s="10">
        <f>0.025</f>
        <v>2.5000000000000001E-2</v>
      </c>
      <c r="F2281">
        <v>500</v>
      </c>
      <c r="G2281">
        <f t="shared" si="90"/>
        <v>1000</v>
      </c>
      <c r="H2281" s="12">
        <f>G2281*E2281</f>
        <v>25</v>
      </c>
      <c r="I2281">
        <v>1</v>
      </c>
      <c r="J2281" s="391">
        <f t="shared" ref="J2281:J2282" si="91">J2280</f>
        <v>2.4E-2</v>
      </c>
      <c r="K2281" s="220">
        <f xml:space="preserve"> J2281  *H2281</f>
        <v>0.6</v>
      </c>
      <c r="L2281" s="220">
        <f>K2281/2</f>
        <v>0.3</v>
      </c>
      <c r="M2281" s="335">
        <f>(J2281 )*(K2281 )</f>
        <v>1.44E-2</v>
      </c>
      <c r="O2281" s="486" t="s">
        <v>4794</v>
      </c>
      <c r="Q2281" s="73"/>
      <c r="R2281" s="1"/>
      <c r="T2281" s="1"/>
      <c r="V2281" s="313"/>
      <c r="W2281" s="1"/>
    </row>
    <row r="2282" spans="1:24" x14ac:dyDescent="0.35">
      <c r="D2282" s="128" t="s">
        <v>4796</v>
      </c>
      <c r="E2282" s="10">
        <f>0.04/2</f>
        <v>0.02</v>
      </c>
      <c r="F2282">
        <v>500</v>
      </c>
      <c r="G2282">
        <f t="shared" si="90"/>
        <v>1000</v>
      </c>
      <c r="H2282" s="12">
        <f>G2282*E2282</f>
        <v>20</v>
      </c>
      <c r="I2282">
        <v>1</v>
      </c>
      <c r="J2282" s="391">
        <f t="shared" si="91"/>
        <v>2.4E-2</v>
      </c>
      <c r="K2282" s="220">
        <f xml:space="preserve"> J2282  *H2282</f>
        <v>0.48</v>
      </c>
      <c r="L2282" s="220">
        <f>K2282/2</f>
        <v>0.24</v>
      </c>
      <c r="M2282" s="335">
        <f>(J2282 )*(K2282 )</f>
        <v>1.1519999999999999E-2</v>
      </c>
      <c r="Q2282" s="73"/>
      <c r="R2282" s="1"/>
      <c r="T2282" s="1"/>
      <c r="V2282" s="313"/>
      <c r="W2282" s="1"/>
    </row>
    <row r="2283" spans="1:24" x14ac:dyDescent="0.35">
      <c r="D2283" s="128"/>
      <c r="E2283" s="10"/>
      <c r="H2283" s="12"/>
      <c r="J2283" s="391"/>
      <c r="K2283" s="220"/>
      <c r="L2283" s="220"/>
      <c r="M2283" s="335"/>
      <c r="Q2283" s="73"/>
      <c r="R2283" s="1"/>
      <c r="T2283" s="1"/>
      <c r="V2283" s="313"/>
      <c r="W2283" s="1"/>
    </row>
    <row r="2284" spans="1:24" x14ac:dyDescent="0.35">
      <c r="B2284" s="83" t="s">
        <v>4824</v>
      </c>
      <c r="D2284" s="128"/>
      <c r="E2284" s="10"/>
      <c r="H2284" s="12"/>
      <c r="J2284" s="391"/>
      <c r="K2284" s="220"/>
      <c r="L2284" s="220"/>
      <c r="M2284" s="335"/>
      <c r="Q2284" s="73"/>
      <c r="R2284" s="1"/>
      <c r="T2284" s="1"/>
      <c r="V2284" s="313"/>
      <c r="W2284" s="1"/>
    </row>
    <row r="2285" spans="1:24" ht="24.5" x14ac:dyDescent="0.35">
      <c r="D2285" s="307" t="s">
        <v>4814</v>
      </c>
      <c r="E2285" s="307" t="s">
        <v>4815</v>
      </c>
      <c r="F2285" s="307" t="s">
        <v>4822</v>
      </c>
      <c r="G2285" s="307" t="s">
        <v>4816</v>
      </c>
      <c r="H2285" s="307" t="s">
        <v>4817</v>
      </c>
      <c r="I2285" s="307" t="s">
        <v>4819</v>
      </c>
      <c r="J2285" s="307" t="s">
        <v>4821</v>
      </c>
      <c r="K2285" s="307" t="s">
        <v>4818</v>
      </c>
      <c r="L2285" s="220"/>
      <c r="M2285" s="307" t="s">
        <v>4744</v>
      </c>
      <c r="N2285" s="426"/>
      <c r="O2285" s="4"/>
      <c r="P2285" s="4"/>
      <c r="Q2285" s="4"/>
      <c r="R2285" s="1"/>
      <c r="T2285" s="1"/>
      <c r="V2285" s="313"/>
      <c r="W2285" s="1"/>
    </row>
    <row r="2286" spans="1:24" x14ac:dyDescent="0.35">
      <c r="D2286" s="560">
        <v>2.5</v>
      </c>
      <c r="E2286" s="13">
        <v>0.1</v>
      </c>
      <c r="F2286" s="12">
        <f>E2286/2</f>
        <v>0.05</v>
      </c>
      <c r="G2286" s="13">
        <f>D2286-E2286</f>
        <v>2.4</v>
      </c>
      <c r="H2286" s="13">
        <v>1</v>
      </c>
      <c r="I2286" s="457">
        <v>2200</v>
      </c>
      <c r="J2286" s="13">
        <f>G2286-H2286</f>
        <v>1.4</v>
      </c>
      <c r="K2286" s="13">
        <f>1000*J2286/I2286</f>
        <v>0.63636363636363635</v>
      </c>
      <c r="L2286" s="220"/>
      <c r="M2286" s="486" t="s">
        <v>4823</v>
      </c>
      <c r="N2286" s="12"/>
      <c r="R2286" s="1"/>
      <c r="T2286" s="1"/>
      <c r="V2286" s="313"/>
      <c r="W2286" s="1"/>
    </row>
    <row r="2287" spans="1:24" x14ac:dyDescent="0.35">
      <c r="D2287" s="560">
        <v>2.1</v>
      </c>
      <c r="E2287" s="13">
        <v>0.1</v>
      </c>
      <c r="F2287" s="12">
        <f>E2287/2</f>
        <v>0.05</v>
      </c>
      <c r="G2287" s="13">
        <f>D2287-E2287</f>
        <v>2</v>
      </c>
      <c r="H2287" s="13">
        <v>1</v>
      </c>
      <c r="I2287" s="162">
        <f>I2286</f>
        <v>2200</v>
      </c>
      <c r="J2287" s="13">
        <f>G2287-H2287</f>
        <v>1</v>
      </c>
      <c r="K2287" s="13">
        <f>1000*J2287/I2287</f>
        <v>0.45454545454545453</v>
      </c>
      <c r="L2287" s="220"/>
      <c r="N2287" s="335"/>
      <c r="R2287" s="1"/>
      <c r="T2287" s="1"/>
      <c r="V2287" s="313"/>
      <c r="W2287" s="1"/>
    </row>
    <row r="2288" spans="1:24" x14ac:dyDescent="0.35">
      <c r="D2288" s="560">
        <v>2.5</v>
      </c>
      <c r="E2288">
        <v>0.5</v>
      </c>
      <c r="F2288" s="12">
        <f>E2288/2</f>
        <v>0.25</v>
      </c>
      <c r="G2288" s="13">
        <f>D2288-E2288</f>
        <v>2</v>
      </c>
      <c r="H2288" s="13">
        <v>1</v>
      </c>
      <c r="I2288" s="162">
        <f t="shared" ref="I2288:I2289" si="92">I2287</f>
        <v>2200</v>
      </c>
      <c r="J2288" s="13">
        <f>G2288-H2288</f>
        <v>1</v>
      </c>
      <c r="K2288" s="13">
        <f>1000*J2288/I2288</f>
        <v>0.45454545454545453</v>
      </c>
      <c r="L2288" s="220"/>
      <c r="M2288" s="486" t="s">
        <v>4820</v>
      </c>
      <c r="N2288" s="335"/>
      <c r="R2288" s="1"/>
      <c r="T2288" s="1"/>
      <c r="V2288" s="313"/>
      <c r="W2288" s="1"/>
    </row>
    <row r="2289" spans="1:29" x14ac:dyDescent="0.35">
      <c r="D2289" s="560">
        <v>2.1</v>
      </c>
      <c r="E2289" s="13">
        <f>E2288</f>
        <v>0.5</v>
      </c>
      <c r="F2289" s="12">
        <f>E2289/2</f>
        <v>0.25</v>
      </c>
      <c r="G2289" s="13">
        <f>D2289-E2289</f>
        <v>1.6</v>
      </c>
      <c r="H2289" s="13">
        <v>1</v>
      </c>
      <c r="I2289" s="162">
        <f t="shared" si="92"/>
        <v>2200</v>
      </c>
      <c r="J2289" s="13">
        <f>G2289-H2289</f>
        <v>0.60000000000000009</v>
      </c>
      <c r="K2289" s="13">
        <f>1000*J2289/I2289</f>
        <v>0.27272727272727276</v>
      </c>
      <c r="L2289" s="220"/>
      <c r="M2289" s="486"/>
      <c r="N2289" s="335"/>
      <c r="R2289" s="1"/>
      <c r="T2289" s="1"/>
      <c r="V2289" s="313"/>
      <c r="W2289" s="1"/>
    </row>
    <row r="2290" spans="1:29" x14ac:dyDescent="0.35">
      <c r="D2290" s="128"/>
      <c r="E2290" s="10"/>
      <c r="H2290" s="12"/>
      <c r="J2290" s="391"/>
      <c r="K2290" s="220"/>
      <c r="L2290" s="220"/>
      <c r="M2290" s="335"/>
      <c r="Q2290" s="73"/>
      <c r="R2290" s="1"/>
      <c r="T2290" s="1"/>
      <c r="V2290" s="313"/>
      <c r="W2290" s="1"/>
    </row>
    <row r="2291" spans="1:29" s="5" customFormat="1" x14ac:dyDescent="0.35">
      <c r="A2291" s="86" t="s">
        <v>5762</v>
      </c>
    </row>
    <row r="2292" spans="1:29" x14ac:dyDescent="0.35">
      <c r="D2292" s="305"/>
      <c r="G2292" s="305"/>
      <c r="J2292" s="306"/>
    </row>
    <row r="2293" spans="1:29" x14ac:dyDescent="0.35">
      <c r="B2293" s="83" t="s">
        <v>9494</v>
      </c>
      <c r="D2293" s="305"/>
      <c r="G2293" s="438" t="s">
        <v>7952</v>
      </c>
      <c r="H2293" s="305"/>
      <c r="J2293" s="438" t="s">
        <v>4340</v>
      </c>
      <c r="M2293" s="439" t="s">
        <v>4343</v>
      </c>
      <c r="N2293" s="306"/>
      <c r="R2293" s="437" t="s">
        <v>4346</v>
      </c>
      <c r="W2293" s="306" t="s">
        <v>4469</v>
      </c>
    </row>
    <row r="2294" spans="1:29" ht="25.5" customHeight="1" x14ac:dyDescent="0.35">
      <c r="D2294" s="307" t="s">
        <v>9495</v>
      </c>
      <c r="E2294" s="123" t="s">
        <v>7950</v>
      </c>
      <c r="G2294" s="123" t="s">
        <v>7954</v>
      </c>
      <c r="H2294" s="123" t="s">
        <v>7951</v>
      </c>
      <c r="J2294" s="123" t="s">
        <v>7953</v>
      </c>
      <c r="K2294" s="123" t="s">
        <v>3021</v>
      </c>
      <c r="M2294" s="123" t="s">
        <v>7955</v>
      </c>
      <c r="N2294" s="307" t="s">
        <v>4339</v>
      </c>
      <c r="P2294" s="123" t="s">
        <v>4344</v>
      </c>
      <c r="Q2294" s="123" t="s">
        <v>7956</v>
      </c>
      <c r="R2294" s="123" t="s">
        <v>4345</v>
      </c>
      <c r="S2294" s="307" t="s">
        <v>3019</v>
      </c>
      <c r="T2294" s="123" t="s">
        <v>2487</v>
      </c>
      <c r="V2294" s="307" t="s">
        <v>3022</v>
      </c>
      <c r="W2294" s="307" t="s">
        <v>4341</v>
      </c>
      <c r="X2294" s="307" t="s">
        <v>4342</v>
      </c>
    </row>
    <row r="2295" spans="1:29" x14ac:dyDescent="0.35">
      <c r="D2295" s="13">
        <v>5</v>
      </c>
      <c r="E2295">
        <v>3.3</v>
      </c>
      <c r="G2295">
        <v>100</v>
      </c>
      <c r="H2295">
        <f>G2295*E2295</f>
        <v>330</v>
      </c>
      <c r="J2295" s="15">
        <f>25/3.3</f>
        <v>7.5757575757575761</v>
      </c>
      <c r="K2295" s="15">
        <f>100/3.3</f>
        <v>30.303030303030305</v>
      </c>
      <c r="M2295" s="15">
        <f>J2295+G2295</f>
        <v>107.57575757575758</v>
      </c>
      <c r="N2295" s="15">
        <f>M2295*E2295</f>
        <v>355</v>
      </c>
      <c r="P2295" s="15">
        <f>K2295*D2295</f>
        <v>151.51515151515153</v>
      </c>
      <c r="Q2295" s="15">
        <f>N2295/T2295</f>
        <v>443.75</v>
      </c>
      <c r="R2295" s="15">
        <f>SUM(P2295:Q2295)</f>
        <v>595.2651515151515</v>
      </c>
      <c r="S2295" s="15">
        <f>R2295/D2295</f>
        <v>119.0530303030303</v>
      </c>
      <c r="T2295" s="53">
        <v>0.8</v>
      </c>
      <c r="V2295" s="287">
        <v>10</v>
      </c>
      <c r="W2295" s="162">
        <f>V2295*S2295</f>
        <v>1190.530303030303</v>
      </c>
      <c r="X2295" s="162">
        <f>R2295*V2295</f>
        <v>5952.651515151515</v>
      </c>
    </row>
    <row r="2296" spans="1:29" x14ac:dyDescent="0.35">
      <c r="J2296" s="15"/>
      <c r="K2296" s="15"/>
      <c r="M2296" s="15"/>
      <c r="N2296" s="15"/>
      <c r="P2296" s="15"/>
      <c r="Q2296" s="15"/>
      <c r="R2296" s="15"/>
      <c r="S2296" s="15"/>
      <c r="T2296" s="53"/>
      <c r="V2296" s="15"/>
      <c r="W2296" s="162"/>
      <c r="X2296" s="162"/>
      <c r="AB2296" s="12"/>
      <c r="AC2296" s="12"/>
    </row>
    <row r="2297" spans="1:29" x14ac:dyDescent="0.35">
      <c r="B2297"/>
      <c r="C2297" s="494" t="s">
        <v>9496</v>
      </c>
      <c r="J2297" s="15"/>
      <c r="K2297" s="15"/>
      <c r="M2297" s="15"/>
      <c r="N2297" s="15"/>
      <c r="P2297" s="15"/>
      <c r="Q2297" s="15"/>
      <c r="R2297" s="15"/>
      <c r="S2297" s="15"/>
      <c r="T2297" s="53"/>
      <c r="V2297" s="15"/>
      <c r="W2297" s="162"/>
      <c r="X2297" s="162"/>
      <c r="AB2297" s="12"/>
      <c r="AC2297" s="12"/>
    </row>
    <row r="2298" spans="1:29" ht="24.5" x14ac:dyDescent="0.35">
      <c r="D2298" s="307" t="s">
        <v>4730</v>
      </c>
      <c r="E2298" s="307" t="s">
        <v>238</v>
      </c>
      <c r="F2298" s="307" t="s">
        <v>4795</v>
      </c>
      <c r="G2298" s="307" t="s">
        <v>4476</v>
      </c>
      <c r="H2298" s="307" t="s">
        <v>4338</v>
      </c>
      <c r="I2298" s="307" t="s">
        <v>4731</v>
      </c>
      <c r="J2298" s="307" t="s">
        <v>4732</v>
      </c>
      <c r="K2298" s="307" t="s">
        <v>4734</v>
      </c>
      <c r="M2298" s="307" t="s">
        <v>4744</v>
      </c>
      <c r="N2298" s="94"/>
      <c r="O2298" s="4"/>
      <c r="P2298" s="94"/>
      <c r="Q2298" s="94"/>
      <c r="R2298" s="94"/>
      <c r="S2298" s="15"/>
      <c r="T2298" s="53"/>
      <c r="W2298" s="162"/>
      <c r="X2298" s="162"/>
      <c r="AB2298" s="12"/>
      <c r="AC2298" s="12"/>
    </row>
    <row r="2299" spans="1:29" x14ac:dyDescent="0.35">
      <c r="D2299">
        <v>18</v>
      </c>
      <c r="E2299" s="10">
        <v>6.3E-3</v>
      </c>
      <c r="F2299">
        <f>5*4</f>
        <v>20</v>
      </c>
      <c r="G2299">
        <f>F2299*2</f>
        <v>40</v>
      </c>
      <c r="H2299" s="12">
        <f>G2299*E2299</f>
        <v>0.252</v>
      </c>
      <c r="I2299" s="162">
        <f>W2295</f>
        <v>1190.530303030303</v>
      </c>
      <c r="J2299" s="15">
        <f xml:space="preserve"> I2299  *H2299</f>
        <v>300.01363636363635</v>
      </c>
      <c r="K2299" s="15">
        <f>(I2299/1000)*(J2299/1000)*1000</f>
        <v>357.17532541322311</v>
      </c>
      <c r="M2299" s="15"/>
      <c r="N2299" s="15"/>
      <c r="P2299" s="15"/>
      <c r="Q2299" s="15"/>
      <c r="R2299" s="15"/>
      <c r="S2299" s="15"/>
      <c r="T2299" s="53"/>
      <c r="W2299" s="162"/>
      <c r="X2299" s="162"/>
      <c r="AB2299" s="12"/>
      <c r="AC2299" s="12"/>
    </row>
    <row r="2300" spans="1:29" x14ac:dyDescent="0.35">
      <c r="D2300">
        <v>18</v>
      </c>
      <c r="E2300" s="10">
        <v>6.3E-3</v>
      </c>
      <c r="F2300">
        <f>3*10</f>
        <v>30</v>
      </c>
      <c r="G2300">
        <f>F2300*2</f>
        <v>60</v>
      </c>
      <c r="H2300" s="12">
        <f>G2300*E2300</f>
        <v>0.378</v>
      </c>
      <c r="I2300" s="162">
        <f>I2299</f>
        <v>1190.530303030303</v>
      </c>
      <c r="J2300" s="15">
        <f xml:space="preserve"> I2300  *H2300</f>
        <v>450.02045454545453</v>
      </c>
      <c r="K2300" s="15">
        <f>(I2300/1000)*(J2300/1000)*1000</f>
        <v>535.76298811983474</v>
      </c>
      <c r="M2300" s="15"/>
      <c r="N2300" s="15"/>
      <c r="P2300" s="15"/>
      <c r="Q2300" s="15"/>
      <c r="R2300" s="15"/>
      <c r="S2300" s="15"/>
      <c r="T2300" s="53"/>
      <c r="W2300" s="162"/>
      <c r="X2300" s="162"/>
      <c r="AB2300" s="12"/>
      <c r="AC2300" s="12"/>
    </row>
    <row r="2301" spans="1:29" x14ac:dyDescent="0.35">
      <c r="D2301" s="73" t="s">
        <v>4733</v>
      </c>
      <c r="E2301" s="10">
        <f>0.025/3</f>
        <v>8.3333333333333332E-3</v>
      </c>
      <c r="F2301">
        <f>3*10</f>
        <v>30</v>
      </c>
      <c r="G2301">
        <f>F2301*2</f>
        <v>60</v>
      </c>
      <c r="H2301" s="12">
        <f>G2301*E2301</f>
        <v>0.5</v>
      </c>
      <c r="I2301" s="162">
        <f>I2300</f>
        <v>1190.530303030303</v>
      </c>
      <c r="J2301" s="15">
        <f xml:space="preserve"> I2301  *H2301</f>
        <v>595.2651515151515</v>
      </c>
      <c r="K2301" s="15">
        <f>(I2301/1000)*(J2301/1000)*1000</f>
        <v>708.68120121671257</v>
      </c>
      <c r="M2301" s="485" t="s">
        <v>9501</v>
      </c>
      <c r="N2301" s="15"/>
      <c r="P2301" s="15"/>
      <c r="Q2301" s="15"/>
      <c r="R2301" s="15"/>
      <c r="S2301" s="15"/>
      <c r="T2301" s="53"/>
      <c r="W2301" s="162"/>
      <c r="X2301" s="162"/>
      <c r="AB2301" s="12"/>
      <c r="AC2301" s="12"/>
    </row>
    <row r="2302" spans="1:29" x14ac:dyDescent="0.35">
      <c r="D2302" s="73" t="s">
        <v>4733</v>
      </c>
      <c r="E2302" s="10">
        <f>0.025/3</f>
        <v>8.3333333333333332E-3</v>
      </c>
      <c r="F2302">
        <v>10</v>
      </c>
      <c r="G2302">
        <f>F2302*2</f>
        <v>20</v>
      </c>
      <c r="H2302" s="12">
        <f>G2302*E2302</f>
        <v>0.16666666666666666</v>
      </c>
      <c r="I2302" s="162">
        <f>I2301</f>
        <v>1190.530303030303</v>
      </c>
      <c r="J2302" s="15">
        <f xml:space="preserve"> I2302  *H2302</f>
        <v>198.42171717171715</v>
      </c>
      <c r="K2302" s="15">
        <f>(I2302/1000)*(J2302/1000)*1000</f>
        <v>236.22706707223747</v>
      </c>
      <c r="M2302" s="485" t="s">
        <v>9500</v>
      </c>
      <c r="N2302" s="15"/>
      <c r="P2302" s="15"/>
      <c r="Q2302" s="15"/>
      <c r="R2302" s="15"/>
      <c r="S2302" s="15"/>
      <c r="T2302" s="53"/>
      <c r="W2302" s="162"/>
      <c r="X2302" s="162"/>
      <c r="AB2302" s="12"/>
      <c r="AC2302" s="12"/>
    </row>
    <row r="2303" spans="1:29" x14ac:dyDescent="0.35">
      <c r="J2303" s="15"/>
      <c r="K2303" s="15"/>
      <c r="M2303" s="15"/>
      <c r="N2303" s="15"/>
      <c r="P2303" s="15"/>
      <c r="Q2303" s="15"/>
      <c r="R2303" s="15"/>
      <c r="S2303" s="15"/>
      <c r="T2303" s="53"/>
      <c r="V2303" s="15"/>
      <c r="W2303" s="162"/>
      <c r="X2303" s="162"/>
      <c r="AB2303" s="12"/>
      <c r="AC2303" s="12"/>
    </row>
    <row r="2304" spans="1:29" ht="28.5" customHeight="1" x14ac:dyDescent="0.35">
      <c r="B2304" s="83" t="s">
        <v>9497</v>
      </c>
      <c r="D2304" s="307" t="s">
        <v>4470</v>
      </c>
      <c r="E2304" s="307" t="s">
        <v>4471</v>
      </c>
      <c r="F2304" s="307" t="s">
        <v>4475</v>
      </c>
      <c r="G2304" s="307" t="s">
        <v>4472</v>
      </c>
      <c r="H2304" s="307" t="s">
        <v>4473</v>
      </c>
      <c r="I2304" s="307" t="s">
        <v>4474</v>
      </c>
      <c r="J2304" s="15"/>
      <c r="P2304" s="307" t="s">
        <v>4795</v>
      </c>
      <c r="Q2304" s="307" t="s">
        <v>4476</v>
      </c>
    </row>
    <row r="2305" spans="1:29" x14ac:dyDescent="0.35">
      <c r="B2305" s="187" t="s">
        <v>9498</v>
      </c>
      <c r="D2305">
        <v>32</v>
      </c>
      <c r="E2305" s="12">
        <f>X2295/1000</f>
        <v>5.9526515151515147</v>
      </c>
      <c r="F2305" s="12">
        <f>E2305/D2305</f>
        <v>0.18602035984848483</v>
      </c>
      <c r="G2305">
        <v>10</v>
      </c>
      <c r="H2305" s="15">
        <f>G2305*E2305</f>
        <v>59.526515151515149</v>
      </c>
      <c r="I2305" s="13">
        <f>H2305/D2305</f>
        <v>1.8602035984848484</v>
      </c>
      <c r="J2305" s="15"/>
    </row>
    <row r="2306" spans="1:29" x14ac:dyDescent="0.35">
      <c r="D2306">
        <v>32</v>
      </c>
      <c r="E2306" s="12">
        <f>E2305</f>
        <v>5.9526515151515147</v>
      </c>
      <c r="F2306" s="12">
        <f>E2306/D2306</f>
        <v>0.18602035984848483</v>
      </c>
      <c r="G2306">
        <v>20</v>
      </c>
      <c r="H2306" s="15">
        <f>G2306*E2306</f>
        <v>119.0530303030303</v>
      </c>
      <c r="I2306" s="13">
        <f>H2306/D2306</f>
        <v>3.7204071969696968</v>
      </c>
      <c r="J2306" s="15"/>
    </row>
    <row r="2307" spans="1:29" x14ac:dyDescent="0.35">
      <c r="E2307" s="12"/>
      <c r="F2307" s="12"/>
      <c r="H2307" s="13"/>
      <c r="I2307" s="10"/>
      <c r="J2307" s="15"/>
      <c r="M2307" s="12"/>
      <c r="N2307" s="12"/>
    </row>
    <row r="2308" spans="1:29" x14ac:dyDescent="0.35">
      <c r="B2308"/>
      <c r="C2308" s="494" t="s">
        <v>9499</v>
      </c>
      <c r="E2308" s="12"/>
      <c r="F2308" s="12"/>
      <c r="H2308" s="13"/>
      <c r="I2308" s="10"/>
      <c r="J2308" s="15"/>
      <c r="M2308" s="12"/>
      <c r="N2308" s="12"/>
    </row>
    <row r="2309" spans="1:29" ht="36.5" x14ac:dyDescent="0.35">
      <c r="D2309" s="307" t="s">
        <v>4730</v>
      </c>
      <c r="E2309" s="307" t="s">
        <v>238</v>
      </c>
      <c r="F2309" s="307" t="s">
        <v>4795</v>
      </c>
      <c r="G2309" s="307" t="s">
        <v>4476</v>
      </c>
      <c r="H2309" s="307" t="s">
        <v>4338</v>
      </c>
      <c r="I2309" s="307" t="s">
        <v>4472</v>
      </c>
      <c r="J2309" s="307" t="s">
        <v>4736</v>
      </c>
      <c r="K2309" s="307" t="s">
        <v>4742</v>
      </c>
      <c r="L2309" s="307" t="s">
        <v>4743</v>
      </c>
      <c r="M2309" s="307" t="s">
        <v>4735</v>
      </c>
      <c r="O2309" s="307" t="s">
        <v>4744</v>
      </c>
      <c r="P2309" s="426"/>
      <c r="Q2309" s="4"/>
      <c r="R2309" s="4"/>
      <c r="S2309" s="4"/>
    </row>
    <row r="2310" spans="1:29" x14ac:dyDescent="0.35">
      <c r="D2310">
        <v>18</v>
      </c>
      <c r="E2310" s="10">
        <v>6.3E-3</v>
      </c>
      <c r="F2310">
        <v>20</v>
      </c>
      <c r="G2310">
        <f>F2310*2</f>
        <v>40</v>
      </c>
      <c r="H2310" s="12">
        <f t="shared" ref="H2310:H2315" si="93">G2310*E2310</f>
        <v>0.252</v>
      </c>
      <c r="I2310">
        <v>10</v>
      </c>
      <c r="J2310" s="220">
        <f t="shared" ref="J2310:J2315" si="94">I2310*F$2305</f>
        <v>1.8602035984848484</v>
      </c>
      <c r="K2310" s="220">
        <f t="shared" ref="K2310:K2315" si="95" xml:space="preserve"> J2310  *H2310</f>
        <v>0.4687713068181818</v>
      </c>
      <c r="L2310" s="220">
        <f>K2310/2</f>
        <v>0.2343856534090909</v>
      </c>
      <c r="M2310" s="335">
        <f t="shared" ref="M2310:M2315" si="96">(J2310 )*(K2310 )</f>
        <v>0.87201007180962675</v>
      </c>
      <c r="O2310" s="486" t="s">
        <v>4737</v>
      </c>
      <c r="P2310" s="12"/>
    </row>
    <row r="2311" spans="1:29" x14ac:dyDescent="0.35">
      <c r="D2311">
        <v>18</v>
      </c>
      <c r="E2311" s="10">
        <v>6.3E-3</v>
      </c>
      <c r="F2311">
        <v>20</v>
      </c>
      <c r="G2311">
        <f t="shared" ref="G2311:G2315" si="97">F2311*2</f>
        <v>40</v>
      </c>
      <c r="H2311" s="12">
        <f t="shared" si="93"/>
        <v>0.252</v>
      </c>
      <c r="I2311">
        <v>20</v>
      </c>
      <c r="J2311" s="220">
        <f t="shared" si="94"/>
        <v>3.7204071969696968</v>
      </c>
      <c r="K2311" s="220">
        <f t="shared" si="95"/>
        <v>0.9375426136363636</v>
      </c>
      <c r="L2311" s="220">
        <f t="shared" ref="L2311:L2315" si="98">K2311/2</f>
        <v>0.4687713068181818</v>
      </c>
      <c r="M2311" s="335">
        <f t="shared" si="96"/>
        <v>3.488040287238507</v>
      </c>
      <c r="O2311" s="309"/>
      <c r="P2311" s="12"/>
    </row>
    <row r="2312" spans="1:29" x14ac:dyDescent="0.35">
      <c r="D2312" s="73" t="s">
        <v>4733</v>
      </c>
      <c r="E2312" s="10">
        <f>0.025/3</f>
        <v>8.3333333333333332E-3</v>
      </c>
      <c r="F2312">
        <v>100</v>
      </c>
      <c r="G2312">
        <f t="shared" si="97"/>
        <v>200</v>
      </c>
      <c r="H2312" s="12">
        <f t="shared" si="93"/>
        <v>1.6666666666666667</v>
      </c>
      <c r="I2312">
        <v>10</v>
      </c>
      <c r="J2312" s="220">
        <f t="shared" si="94"/>
        <v>1.8602035984848484</v>
      </c>
      <c r="K2312" s="220">
        <f t="shared" si="95"/>
        <v>3.1003393308080809</v>
      </c>
      <c r="L2312" s="220">
        <f t="shared" si="98"/>
        <v>1.5501696654040404</v>
      </c>
      <c r="M2312" s="335">
        <f t="shared" si="96"/>
        <v>5.7672623796932987</v>
      </c>
      <c r="N2312" s="12"/>
      <c r="O2312" s="486" t="s">
        <v>4740</v>
      </c>
    </row>
    <row r="2313" spans="1:29" x14ac:dyDescent="0.35">
      <c r="D2313" s="73" t="s">
        <v>4733</v>
      </c>
      <c r="E2313" s="10">
        <f>0.025/3</f>
        <v>8.3333333333333332E-3</v>
      </c>
      <c r="F2313">
        <v>100</v>
      </c>
      <c r="G2313">
        <f t="shared" si="97"/>
        <v>200</v>
      </c>
      <c r="H2313" s="12">
        <f t="shared" si="93"/>
        <v>1.6666666666666667</v>
      </c>
      <c r="I2313">
        <v>20</v>
      </c>
      <c r="J2313" s="220">
        <f t="shared" si="94"/>
        <v>3.7204071969696968</v>
      </c>
      <c r="K2313" s="220">
        <f t="shared" si="95"/>
        <v>6.2006786616161618</v>
      </c>
      <c r="L2313" s="220">
        <f t="shared" si="98"/>
        <v>3.1003393308080809</v>
      </c>
      <c r="M2313" s="335">
        <f t="shared" si="96"/>
        <v>23.069049518773195</v>
      </c>
      <c r="N2313" s="12"/>
      <c r="O2313" s="486"/>
    </row>
    <row r="2314" spans="1:29" x14ac:dyDescent="0.35">
      <c r="D2314" s="73" t="s">
        <v>4733</v>
      </c>
      <c r="E2314" s="10">
        <f>0.025/3</f>
        <v>8.3333333333333332E-3</v>
      </c>
      <c r="F2314">
        <v>200</v>
      </c>
      <c r="G2314">
        <f t="shared" si="97"/>
        <v>400</v>
      </c>
      <c r="H2314" s="12">
        <f t="shared" si="93"/>
        <v>3.3333333333333335</v>
      </c>
      <c r="I2314">
        <v>10</v>
      </c>
      <c r="J2314" s="220">
        <f t="shared" si="94"/>
        <v>1.8602035984848484</v>
      </c>
      <c r="K2314" s="220">
        <f t="shared" si="95"/>
        <v>6.2006786616161618</v>
      </c>
      <c r="L2314" s="220">
        <f t="shared" si="98"/>
        <v>3.1003393308080809</v>
      </c>
      <c r="M2314" s="335">
        <f t="shared" si="96"/>
        <v>11.534524759386597</v>
      </c>
      <c r="N2314" s="12"/>
      <c r="O2314" s="486" t="s">
        <v>4741</v>
      </c>
    </row>
    <row r="2315" spans="1:29" x14ac:dyDescent="0.35">
      <c r="D2315" s="73" t="s">
        <v>4733</v>
      </c>
      <c r="E2315" s="10">
        <f>0.025/3</f>
        <v>8.3333333333333332E-3</v>
      </c>
      <c r="F2315">
        <v>200</v>
      </c>
      <c r="G2315">
        <f t="shared" si="97"/>
        <v>400</v>
      </c>
      <c r="H2315" s="12">
        <f t="shared" si="93"/>
        <v>3.3333333333333335</v>
      </c>
      <c r="I2315">
        <v>20</v>
      </c>
      <c r="J2315" s="220">
        <f t="shared" si="94"/>
        <v>3.7204071969696968</v>
      </c>
      <c r="K2315" s="220">
        <f t="shared" si="95"/>
        <v>12.401357323232324</v>
      </c>
      <c r="L2315" s="220">
        <f t="shared" si="98"/>
        <v>6.2006786616161618</v>
      </c>
      <c r="M2315" s="335">
        <f t="shared" si="96"/>
        <v>46.13809903754639</v>
      </c>
      <c r="N2315" s="12"/>
      <c r="O2315" s="486"/>
    </row>
    <row r="2316" spans="1:29" x14ac:dyDescent="0.35">
      <c r="J2316" s="15"/>
      <c r="K2316" s="15"/>
      <c r="M2316" s="15"/>
      <c r="N2316" s="15"/>
      <c r="P2316" s="15"/>
      <c r="Q2316" s="15"/>
      <c r="R2316" s="15"/>
      <c r="S2316" s="15"/>
      <c r="T2316" s="53"/>
      <c r="V2316" s="15"/>
      <c r="W2316" s="162"/>
      <c r="X2316" s="162"/>
      <c r="AC2316" s="12"/>
    </row>
    <row r="2317" spans="1:29" x14ac:dyDescent="0.35">
      <c r="B2317" s="83" t="s">
        <v>4348</v>
      </c>
      <c r="H2317" s="15"/>
      <c r="I2317" s="15"/>
      <c r="K2317" s="15"/>
    </row>
    <row r="2318" spans="1:29" x14ac:dyDescent="0.35">
      <c r="D2318" t="s">
        <v>4349</v>
      </c>
      <c r="L2318" s="1" t="s">
        <v>4347</v>
      </c>
    </row>
    <row r="2319" spans="1:29" x14ac:dyDescent="0.35">
      <c r="D2319" s="295"/>
      <c r="E2319" s="155"/>
      <c r="F2319" s="155"/>
      <c r="G2319" s="155"/>
      <c r="H2319" s="155"/>
      <c r="I2319" s="155"/>
      <c r="J2319" s="155"/>
      <c r="K2319" s="170"/>
      <c r="L2319" s="155"/>
      <c r="M2319" s="1"/>
      <c r="Q2319" s="73"/>
      <c r="R2319" s="1"/>
      <c r="T2319" s="313"/>
      <c r="U2319" s="1"/>
      <c r="W2319" s="313"/>
      <c r="X2319" s="1"/>
    </row>
    <row r="2320" spans="1:29" s="5" customFormat="1" x14ac:dyDescent="0.35">
      <c r="A2320" s="86" t="s">
        <v>7823</v>
      </c>
    </row>
    <row r="2321" spans="2:24" x14ac:dyDescent="0.35">
      <c r="D2321" s="295"/>
      <c r="E2321" s="295"/>
      <c r="F2321" s="295"/>
      <c r="G2321" s="295"/>
      <c r="H2321" s="295"/>
      <c r="I2321" s="295"/>
      <c r="K2321" s="295"/>
      <c r="M2321" s="295"/>
      <c r="N2321" s="295"/>
      <c r="P2321" s="295"/>
      <c r="Q2321" s="295"/>
      <c r="R2321" s="295"/>
      <c r="S2321" s="295"/>
      <c r="T2321" s="295"/>
      <c r="U2321" s="1"/>
      <c r="W2321" s="313"/>
      <c r="X2321" s="1"/>
    </row>
    <row r="2322" spans="2:24" x14ac:dyDescent="0.35">
      <c r="B2322" s="83" t="s">
        <v>2619</v>
      </c>
      <c r="D2322" s="155" t="s">
        <v>7817</v>
      </c>
      <c r="E2322" s="295"/>
      <c r="F2322" s="295"/>
      <c r="G2322" s="295"/>
      <c r="H2322" s="295"/>
      <c r="J2322" s="295"/>
      <c r="L2322" s="295"/>
      <c r="M2322" s="295"/>
      <c r="U2322" s="1"/>
      <c r="W2322" s="313"/>
      <c r="X2322" s="1"/>
    </row>
    <row r="2323" spans="2:24" x14ac:dyDescent="0.35">
      <c r="D2323" s="155" t="s">
        <v>7807</v>
      </c>
      <c r="E2323" s="295"/>
      <c r="F2323" s="295"/>
      <c r="G2323" s="295"/>
      <c r="H2323" s="295"/>
      <c r="J2323" s="295"/>
      <c r="L2323" s="295"/>
      <c r="M2323" s="295"/>
      <c r="U2323" s="1"/>
      <c r="W2323" s="313"/>
      <c r="X2323" s="1"/>
    </row>
    <row r="2324" spans="2:24" x14ac:dyDescent="0.35">
      <c r="D2324" s="155"/>
      <c r="E2324" s="295"/>
      <c r="F2324" s="295"/>
      <c r="G2324" s="295"/>
      <c r="H2324" s="295"/>
      <c r="J2324" s="295"/>
      <c r="L2324" s="295"/>
      <c r="M2324" s="295"/>
      <c r="O2324" s="295"/>
      <c r="P2324" s="295"/>
      <c r="Q2324" s="295"/>
      <c r="R2324" s="295"/>
      <c r="S2324" s="295"/>
      <c r="U2324" s="1"/>
      <c r="W2324" s="313"/>
      <c r="X2324" s="1"/>
    </row>
    <row r="2325" spans="2:24" x14ac:dyDescent="0.35">
      <c r="B2325" s="83" t="s">
        <v>2076</v>
      </c>
      <c r="D2325" s="155" t="s">
        <v>4318</v>
      </c>
      <c r="E2325" s="155"/>
      <c r="F2325" s="155"/>
      <c r="G2325" s="155" t="s">
        <v>7814</v>
      </c>
      <c r="H2325" s="155"/>
      <c r="L2325" s="295"/>
      <c r="M2325" s="295"/>
      <c r="O2325" s="295"/>
      <c r="P2325" s="295"/>
      <c r="Q2325" s="295"/>
      <c r="R2325" s="295"/>
      <c r="S2325" s="295"/>
      <c r="U2325" s="1"/>
      <c r="W2325" s="313"/>
      <c r="X2325" s="1"/>
    </row>
    <row r="2326" spans="2:24" x14ac:dyDescent="0.35">
      <c r="D2326" s="435" t="s">
        <v>4319</v>
      </c>
      <c r="E2326" s="155"/>
      <c r="F2326" s="155"/>
      <c r="G2326" s="155" t="s">
        <v>7816</v>
      </c>
      <c r="H2326" s="155"/>
      <c r="L2326" s="295"/>
      <c r="M2326" s="295"/>
      <c r="O2326" s="295"/>
      <c r="P2326" s="295"/>
      <c r="Q2326" s="295"/>
      <c r="R2326" s="295"/>
      <c r="S2326" s="295"/>
      <c r="U2326" s="1"/>
      <c r="W2326" s="313"/>
      <c r="X2326" s="1"/>
    </row>
    <row r="2327" spans="2:24" x14ac:dyDescent="0.35">
      <c r="D2327" s="155" t="s">
        <v>4320</v>
      </c>
      <c r="E2327" s="155"/>
      <c r="F2327" s="155"/>
      <c r="G2327" s="155" t="s">
        <v>7813</v>
      </c>
      <c r="H2327" s="155"/>
      <c r="J2327" s="295"/>
      <c r="L2327" s="295"/>
      <c r="M2327" s="295"/>
      <c r="O2327" s="295"/>
      <c r="P2327" s="295"/>
      <c r="Q2327" s="295"/>
      <c r="R2327" s="295"/>
      <c r="S2327" s="295"/>
      <c r="U2327" s="1"/>
      <c r="W2327" s="313"/>
      <c r="X2327" s="1"/>
    </row>
    <row r="2328" spans="2:24" ht="16.5" x14ac:dyDescent="0.45">
      <c r="D2328" s="155"/>
      <c r="E2328" s="155"/>
      <c r="F2328" s="155"/>
      <c r="G2328" s="211" t="s">
        <v>7872</v>
      </c>
      <c r="H2328" s="155"/>
      <c r="J2328" s="295"/>
      <c r="L2328" s="295"/>
      <c r="M2328" s="295"/>
      <c r="O2328" s="295"/>
      <c r="P2328" s="295"/>
      <c r="Q2328" s="295"/>
      <c r="R2328" s="295"/>
      <c r="S2328" s="295"/>
      <c r="U2328" s="1"/>
      <c r="W2328" s="313"/>
      <c r="X2328" s="1"/>
    </row>
    <row r="2329" spans="2:24" x14ac:dyDescent="0.35">
      <c r="D2329" s="155" t="s">
        <v>4322</v>
      </c>
      <c r="E2329" s="155"/>
      <c r="F2329" s="155"/>
      <c r="G2329" s="155" t="s">
        <v>7815</v>
      </c>
      <c r="H2329" s="155"/>
      <c r="J2329" s="295"/>
      <c r="L2329" s="295"/>
      <c r="M2329" s="295"/>
      <c r="O2329" s="295"/>
      <c r="P2329" s="295"/>
      <c r="Q2329" s="295"/>
      <c r="R2329" s="295"/>
      <c r="S2329" s="295"/>
      <c r="U2329" s="1"/>
      <c r="W2329" s="313"/>
      <c r="X2329" s="1"/>
    </row>
    <row r="2330" spans="2:24" x14ac:dyDescent="0.35">
      <c r="D2330" s="155" t="s">
        <v>4323</v>
      </c>
      <c r="E2330" s="155"/>
      <c r="F2330" s="155"/>
      <c r="G2330" s="1" t="s">
        <v>4304</v>
      </c>
      <c r="H2330" s="155"/>
      <c r="J2330" s="295"/>
      <c r="L2330" s="295"/>
      <c r="M2330" s="295"/>
      <c r="O2330" s="295"/>
      <c r="P2330" s="295"/>
      <c r="Q2330" s="295"/>
      <c r="R2330" s="295"/>
      <c r="S2330" s="295"/>
      <c r="U2330" s="1"/>
      <c r="W2330" s="313"/>
      <c r="X2330" s="1"/>
    </row>
    <row r="2331" spans="2:24" x14ac:dyDescent="0.35">
      <c r="D2331" s="155"/>
      <c r="E2331" s="155"/>
      <c r="F2331" s="155"/>
      <c r="G2331" s="1"/>
      <c r="H2331" s="155"/>
      <c r="J2331" s="295"/>
      <c r="L2331" s="295"/>
      <c r="M2331" s="295"/>
      <c r="O2331" s="295"/>
      <c r="P2331" s="295"/>
      <c r="Q2331" s="295"/>
      <c r="R2331" s="295"/>
      <c r="S2331" s="295"/>
      <c r="U2331" s="1"/>
      <c r="W2331" s="313"/>
      <c r="X2331" s="1"/>
    </row>
    <row r="2332" spans="2:24" x14ac:dyDescent="0.35">
      <c r="B2332" s="83" t="s">
        <v>7829</v>
      </c>
      <c r="D2332" s="333" t="s">
        <v>7825</v>
      </c>
      <c r="E2332" s="333" t="s">
        <v>3645</v>
      </c>
      <c r="F2332" s="333" t="s">
        <v>7826</v>
      </c>
      <c r="G2332" s="333" t="s">
        <v>2242</v>
      </c>
      <c r="H2332" s="875" t="s">
        <v>7827</v>
      </c>
      <c r="J2332" s="295"/>
      <c r="L2332" s="295"/>
      <c r="M2332" s="295"/>
      <c r="O2332" s="295"/>
      <c r="P2332" s="295"/>
      <c r="Q2332" s="295"/>
      <c r="R2332" s="295"/>
      <c r="S2332" s="295"/>
      <c r="U2332" s="1"/>
      <c r="W2332" s="313"/>
      <c r="X2332" s="1"/>
    </row>
    <row r="2333" spans="2:24" x14ac:dyDescent="0.35">
      <c r="D2333" s="876">
        <v>2.2000000000000002</v>
      </c>
      <c r="E2333" s="295">
        <v>84</v>
      </c>
      <c r="F2333" s="295">
        <v>2</v>
      </c>
      <c r="G2333" s="663">
        <f>1000*F2333/E2333</f>
        <v>23.80952380952381</v>
      </c>
      <c r="H2333" s="663">
        <f>((G2333*0.001)^2)*D2333*1000</f>
        <v>1.247165532879819</v>
      </c>
      <c r="J2333" s="295" t="s">
        <v>7828</v>
      </c>
      <c r="L2333" s="295"/>
      <c r="M2333" s="295"/>
      <c r="O2333" s="295"/>
      <c r="P2333" s="295"/>
      <c r="Q2333" s="295"/>
      <c r="R2333" s="295"/>
      <c r="S2333" s="295"/>
      <c r="U2333" s="1"/>
      <c r="W2333" s="313"/>
      <c r="X2333" s="1"/>
    </row>
    <row r="2334" spans="2:24" x14ac:dyDescent="0.35">
      <c r="D2334" s="295">
        <f>D$2333</f>
        <v>2.2000000000000002</v>
      </c>
      <c r="E2334" s="295">
        <v>24</v>
      </c>
      <c r="F2334" s="295">
        <v>2</v>
      </c>
      <c r="G2334" s="663">
        <f>1000*F2334/E2334</f>
        <v>83.333333333333329</v>
      </c>
      <c r="H2334" s="663">
        <f>((G2334*0.001)^2)*D2334*1000</f>
        <v>15.277777777777779</v>
      </c>
      <c r="J2334" s="295"/>
      <c r="L2334" s="295"/>
      <c r="M2334" s="295"/>
      <c r="O2334" s="295"/>
      <c r="P2334" s="295"/>
      <c r="Q2334" s="295"/>
      <c r="R2334" s="295"/>
      <c r="S2334" s="295"/>
      <c r="U2334" s="1"/>
      <c r="W2334" s="313"/>
      <c r="X2334" s="1"/>
    </row>
    <row r="2335" spans="2:24" x14ac:dyDescent="0.35">
      <c r="D2335" s="295">
        <f>D$2333</f>
        <v>2.2000000000000002</v>
      </c>
      <c r="E2335" s="295">
        <v>24</v>
      </c>
      <c r="F2335" s="295">
        <v>1</v>
      </c>
      <c r="G2335" s="663">
        <f>1000*F2335/E2335</f>
        <v>41.666666666666664</v>
      </c>
      <c r="H2335" s="663">
        <f>((G2335*0.001)^2)*D2335*1000</f>
        <v>3.8194444444444446</v>
      </c>
      <c r="J2335" s="295"/>
      <c r="L2335" s="295"/>
      <c r="M2335" s="295"/>
      <c r="O2335" s="295"/>
      <c r="P2335" s="295"/>
      <c r="Q2335" s="295"/>
      <c r="R2335" s="295"/>
      <c r="S2335" s="295"/>
      <c r="U2335" s="1"/>
      <c r="W2335" s="313"/>
      <c r="X2335" s="1"/>
    </row>
    <row r="2336" spans="2:24" x14ac:dyDescent="0.35">
      <c r="D2336" s="295"/>
      <c r="E2336" s="155"/>
      <c r="F2336" s="155"/>
      <c r="G2336" s="155"/>
      <c r="H2336" s="1"/>
      <c r="I2336" s="155"/>
      <c r="K2336" s="155"/>
      <c r="N2336" s="295"/>
      <c r="P2336" s="295"/>
      <c r="Q2336" s="295"/>
      <c r="R2336" s="295"/>
      <c r="S2336" s="295"/>
      <c r="T2336" s="295"/>
      <c r="U2336" s="1"/>
      <c r="W2336" s="313"/>
      <c r="X2336" s="1"/>
    </row>
    <row r="2337" spans="1:24" s="5" customFormat="1" x14ac:dyDescent="0.35">
      <c r="A2337" s="86" t="s">
        <v>7863</v>
      </c>
    </row>
    <row r="2338" spans="1:24" x14ac:dyDescent="0.35">
      <c r="D2338" s="295"/>
      <c r="E2338" s="155"/>
      <c r="F2338" s="155"/>
      <c r="G2338" s="155"/>
      <c r="H2338" s="1"/>
      <c r="I2338" s="155"/>
      <c r="K2338" s="155"/>
      <c r="N2338" s="295"/>
      <c r="P2338" s="295"/>
      <c r="Q2338" s="295"/>
      <c r="R2338" s="295"/>
      <c r="S2338" s="295"/>
      <c r="T2338" s="295"/>
      <c r="U2338" s="1"/>
      <c r="W2338" s="313"/>
      <c r="X2338" s="1"/>
    </row>
    <row r="2339" spans="1:24" x14ac:dyDescent="0.35">
      <c r="B2339" s="83" t="s">
        <v>2619</v>
      </c>
      <c r="D2339" s="155" t="s">
        <v>4633</v>
      </c>
      <c r="E2339" s="155"/>
      <c r="F2339" s="155"/>
      <c r="G2339" s="1"/>
      <c r="H2339" s="155"/>
      <c r="J2339" s="155"/>
      <c r="M2339" s="295"/>
      <c r="O2339" s="295"/>
      <c r="P2339" s="295"/>
      <c r="Q2339" s="295"/>
      <c r="R2339" s="295"/>
      <c r="S2339" s="295"/>
      <c r="T2339" s="1"/>
      <c r="V2339" s="313"/>
      <c r="X2339" s="1"/>
    </row>
    <row r="2340" spans="1:24" x14ac:dyDescent="0.35">
      <c r="D2340" s="155" t="s">
        <v>4634</v>
      </c>
      <c r="E2340" s="155"/>
      <c r="F2340" s="155"/>
      <c r="G2340" s="1"/>
      <c r="H2340" s="155"/>
      <c r="J2340" s="155"/>
      <c r="M2340" s="295"/>
      <c r="O2340" s="295"/>
      <c r="P2340" s="295"/>
      <c r="Q2340" s="295"/>
      <c r="R2340" s="295"/>
      <c r="S2340" s="295"/>
      <c r="T2340" s="1"/>
      <c r="V2340" s="313"/>
      <c r="X2340" s="1"/>
    </row>
    <row r="2341" spans="1:24" x14ac:dyDescent="0.35">
      <c r="D2341" t="s">
        <v>7867</v>
      </c>
      <c r="F2341" s="155" t="s">
        <v>7870</v>
      </c>
      <c r="G2341" s="1"/>
      <c r="H2341" s="155"/>
      <c r="J2341" s="155"/>
      <c r="K2341" t="s">
        <v>7874</v>
      </c>
      <c r="M2341" s="295"/>
      <c r="O2341" s="295"/>
      <c r="P2341" s="295"/>
      <c r="Q2341" s="295"/>
      <c r="R2341" s="295"/>
      <c r="S2341" s="295"/>
      <c r="T2341" s="1"/>
      <c r="V2341" s="313"/>
      <c r="X2341" s="1"/>
    </row>
    <row r="2342" spans="1:24" x14ac:dyDescent="0.35">
      <c r="D2342" t="s">
        <v>7868</v>
      </c>
      <c r="E2342" s="1"/>
      <c r="F2342" s="155" t="s">
        <v>7871</v>
      </c>
      <c r="J2342" s="155"/>
      <c r="K2342" t="s">
        <v>7876</v>
      </c>
      <c r="L2342" s="295"/>
      <c r="M2342" s="295"/>
      <c r="N2342" s="295"/>
      <c r="O2342" s="295"/>
      <c r="P2342" s="295"/>
      <c r="Q2342" s="295"/>
      <c r="R2342" s="295"/>
      <c r="S2342" s="295"/>
      <c r="T2342" s="1"/>
      <c r="V2342" s="313"/>
      <c r="X2342" s="1"/>
    </row>
    <row r="2343" spans="1:24" x14ac:dyDescent="0.35">
      <c r="E2343" s="155"/>
      <c r="F2343" s="155"/>
      <c r="G2343" s="1"/>
      <c r="H2343" s="155"/>
      <c r="J2343" s="155"/>
      <c r="L2343" s="295"/>
      <c r="M2343" s="295"/>
      <c r="N2343" s="295"/>
      <c r="O2343" s="295"/>
      <c r="P2343" s="295"/>
      <c r="Q2343" s="295"/>
      <c r="R2343" s="295"/>
      <c r="S2343" s="295"/>
      <c r="T2343" s="1"/>
      <c r="V2343" s="313"/>
      <c r="X2343" s="1"/>
    </row>
    <row r="2344" spans="1:24" x14ac:dyDescent="0.35">
      <c r="B2344" s="83" t="s">
        <v>4321</v>
      </c>
      <c r="D2344" s="325" t="s">
        <v>7864</v>
      </c>
      <c r="E2344" s="476"/>
      <c r="F2344" s="155"/>
      <c r="G2344" s="1"/>
      <c r="H2344" s="155"/>
      <c r="J2344" s="155"/>
      <c r="K2344" s="318"/>
      <c r="L2344" s="22"/>
      <c r="N2344" s="295"/>
      <c r="O2344" s="312"/>
      <c r="Q2344" s="295"/>
      <c r="R2344" s="295"/>
      <c r="S2344" s="295"/>
      <c r="T2344" s="1"/>
      <c r="V2344" s="313"/>
      <c r="X2344" s="1"/>
    </row>
    <row r="2345" spans="1:24" x14ac:dyDescent="0.35">
      <c r="D2345" s="325" t="s">
        <v>4684</v>
      </c>
      <c r="E2345" s="476"/>
      <c r="F2345" s="155"/>
      <c r="G2345" s="1"/>
      <c r="H2345" s="155"/>
      <c r="J2345" s="155"/>
      <c r="K2345" s="318"/>
      <c r="L2345" s="22"/>
      <c r="N2345" s="295"/>
      <c r="O2345" s="312"/>
      <c r="Q2345" s="295"/>
      <c r="R2345" s="295"/>
      <c r="S2345" s="295"/>
      <c r="T2345" s="1"/>
      <c r="V2345" s="313"/>
      <c r="X2345" s="1"/>
    </row>
    <row r="2346" spans="1:24" x14ac:dyDescent="0.35">
      <c r="D2346" s="155" t="s">
        <v>7865</v>
      </c>
      <c r="E2346" s="155"/>
      <c r="F2346" s="155"/>
      <c r="G2346" s="1"/>
      <c r="H2346" s="155"/>
      <c r="J2346" s="155"/>
      <c r="L2346" t="s">
        <v>4688</v>
      </c>
      <c r="M2346" s="295"/>
      <c r="N2346" s="295"/>
      <c r="O2346" s="295"/>
      <c r="P2346" s="295"/>
      <c r="Q2346" s="295"/>
      <c r="R2346" s="295"/>
      <c r="S2346" s="295"/>
      <c r="T2346" s="1"/>
      <c r="V2346" s="313"/>
      <c r="X2346" s="1"/>
    </row>
    <row r="2347" spans="1:24" x14ac:dyDescent="0.35">
      <c r="D2347" s="155" t="s">
        <v>7866</v>
      </c>
      <c r="E2347" s="155"/>
      <c r="F2347" s="155"/>
      <c r="G2347" s="1"/>
      <c r="H2347" s="155"/>
      <c r="J2347" s="155"/>
      <c r="L2347" t="s">
        <v>4693</v>
      </c>
      <c r="M2347" s="295"/>
      <c r="N2347" s="295"/>
      <c r="O2347" s="295"/>
      <c r="P2347" s="295"/>
      <c r="Q2347" s="295"/>
      <c r="R2347" s="295"/>
      <c r="S2347" s="295"/>
      <c r="T2347" s="1"/>
      <c r="V2347" s="313"/>
      <c r="X2347" s="1"/>
    </row>
    <row r="2348" spans="1:24" x14ac:dyDescent="0.35">
      <c r="D2348" s="155"/>
      <c r="E2348" s="155"/>
      <c r="F2348" s="155"/>
      <c r="G2348" s="1"/>
      <c r="H2348" s="155"/>
      <c r="J2348" s="155"/>
      <c r="L2348" s="295"/>
      <c r="M2348" s="295"/>
      <c r="N2348" s="295"/>
      <c r="O2348" s="295"/>
      <c r="P2348" s="295"/>
      <c r="Q2348" s="295"/>
      <c r="R2348" s="295"/>
      <c r="S2348" s="295"/>
      <c r="T2348" s="1"/>
      <c r="V2348" s="313"/>
      <c r="X2348" s="1"/>
    </row>
    <row r="2349" spans="1:24" x14ac:dyDescent="0.35">
      <c r="B2349" s="83" t="s">
        <v>2625</v>
      </c>
      <c r="D2349" s="155" t="s">
        <v>4690</v>
      </c>
      <c r="E2349" s="155"/>
      <c r="G2349" s="155" t="s">
        <v>4691</v>
      </c>
      <c r="I2349" s="155" t="s">
        <v>4689</v>
      </c>
      <c r="J2349" s="155"/>
      <c r="L2349" s="295"/>
      <c r="M2349" s="295"/>
      <c r="N2349" s="295"/>
      <c r="O2349" s="295"/>
      <c r="P2349" s="295"/>
      <c r="Q2349" s="295"/>
      <c r="R2349" s="295"/>
      <c r="S2349" s="295"/>
      <c r="T2349" s="1"/>
      <c r="V2349" s="313"/>
      <c r="X2349" s="1"/>
    </row>
    <row r="2350" spans="1:24" x14ac:dyDescent="0.35">
      <c r="D2350" s="155"/>
      <c r="E2350" s="155"/>
      <c r="F2350" s="155"/>
      <c r="G2350" s="1"/>
      <c r="H2350" s="155"/>
      <c r="J2350" s="155"/>
      <c r="L2350" s="295"/>
      <c r="M2350" s="295"/>
      <c r="N2350" s="295"/>
      <c r="O2350" s="295"/>
      <c r="P2350" s="295"/>
      <c r="Q2350" s="295"/>
      <c r="R2350" s="295"/>
      <c r="S2350" s="295"/>
      <c r="T2350" s="1"/>
      <c r="V2350" s="313"/>
      <c r="X2350" s="1"/>
    </row>
    <row r="2351" spans="1:24" ht="25" customHeight="1" x14ac:dyDescent="0.35">
      <c r="D2351" s="307" t="s">
        <v>4637</v>
      </c>
      <c r="E2351" s="307" t="s">
        <v>4638</v>
      </c>
      <c r="F2351" s="307" t="s">
        <v>4640</v>
      </c>
      <c r="G2351" s="307" t="s">
        <v>4639</v>
      </c>
      <c r="H2351" s="307" t="s">
        <v>4641</v>
      </c>
      <c r="K2351" s="307" t="s">
        <v>7893</v>
      </c>
      <c r="L2351" s="333" t="s">
        <v>7894</v>
      </c>
      <c r="M2351" s="333" t="s">
        <v>4</v>
      </c>
      <c r="N2351" s="295"/>
      <c r="O2351" s="295"/>
      <c r="P2351" s="295"/>
      <c r="Q2351" s="295"/>
      <c r="R2351" s="295"/>
      <c r="S2351" s="295"/>
      <c r="T2351" s="1"/>
      <c r="V2351" s="313"/>
      <c r="X2351" s="1"/>
    </row>
    <row r="2352" spans="1:24" x14ac:dyDescent="0.35">
      <c r="D2352" s="155">
        <v>10</v>
      </c>
      <c r="E2352" s="414">
        <f>S2295</f>
        <v>119.0530303030303</v>
      </c>
      <c r="F2352" s="312">
        <f>E2352*D2352</f>
        <v>1190.530303030303</v>
      </c>
      <c r="G2352" s="17">
        <v>0.15</v>
      </c>
      <c r="H2352" s="312">
        <f>F2352*(1+G2352)</f>
        <v>1369.1098484848483</v>
      </c>
      <c r="K2352">
        <v>2</v>
      </c>
      <c r="L2352" s="295">
        <f>5/K2352</f>
        <v>2.5</v>
      </c>
      <c r="M2352" s="295">
        <f>5*K2352</f>
        <v>10</v>
      </c>
      <c r="N2352" s="295"/>
      <c r="O2352" s="295"/>
      <c r="P2352" s="295"/>
      <c r="Q2352" s="295"/>
      <c r="R2352" s="295"/>
      <c r="S2352" s="295"/>
      <c r="T2352" s="1"/>
      <c r="V2352" s="313"/>
      <c r="X2352" s="1"/>
    </row>
    <row r="2353" spans="2:24" x14ac:dyDescent="0.35">
      <c r="D2353" s="155"/>
      <c r="E2353" s="414"/>
      <c r="F2353" s="155"/>
      <c r="G2353" s="1"/>
      <c r="H2353" s="155"/>
      <c r="J2353" s="155"/>
      <c r="M2353" s="295"/>
      <c r="O2353" s="295"/>
      <c r="P2353" s="295"/>
      <c r="Q2353" s="295"/>
      <c r="R2353" s="295"/>
      <c r="S2353" s="295"/>
      <c r="T2353" s="1"/>
      <c r="V2353" s="313"/>
      <c r="X2353" s="1"/>
    </row>
    <row r="2354" spans="2:24" x14ac:dyDescent="0.35">
      <c r="B2354" s="83" t="s">
        <v>4645</v>
      </c>
      <c r="D2354" s="155" t="s">
        <v>7875</v>
      </c>
      <c r="E2354" s="414"/>
      <c r="F2354" s="155"/>
      <c r="G2354" s="1"/>
      <c r="H2354" s="155"/>
      <c r="J2354" s="155"/>
      <c r="M2354" s="295"/>
      <c r="O2354" s="295"/>
      <c r="P2354" s="295"/>
      <c r="Q2354" s="295"/>
      <c r="R2354" s="295"/>
      <c r="S2354" s="295"/>
      <c r="T2354" s="1"/>
      <c r="V2354" s="313"/>
      <c r="X2354" s="1"/>
    </row>
    <row r="2355" spans="2:24" x14ac:dyDescent="0.35">
      <c r="D2355" s="155"/>
      <c r="E2355" s="155"/>
      <c r="F2355" s="155"/>
      <c r="G2355" s="1"/>
      <c r="H2355" s="155"/>
      <c r="J2355" s="155"/>
      <c r="M2355" s="295"/>
      <c r="O2355" s="295"/>
      <c r="P2355" s="295"/>
      <c r="Q2355" s="295"/>
      <c r="R2355" s="295"/>
      <c r="S2355" s="295"/>
      <c r="T2355" s="1"/>
      <c r="V2355" s="313"/>
      <c r="X2355" s="1"/>
    </row>
    <row r="2356" spans="2:24" x14ac:dyDescent="0.35">
      <c r="B2356" s="83" t="s">
        <v>4572</v>
      </c>
      <c r="D2356" s="155" t="s">
        <v>4635</v>
      </c>
      <c r="E2356" s="155"/>
      <c r="F2356" s="155"/>
      <c r="G2356" s="1"/>
      <c r="H2356" s="155"/>
      <c r="J2356" s="155"/>
      <c r="M2356" s="295"/>
      <c r="O2356" s="295"/>
      <c r="P2356" s="295"/>
      <c r="Q2356" s="295"/>
      <c r="R2356" s="295"/>
      <c r="S2356" s="295"/>
      <c r="T2356" s="1"/>
      <c r="V2356" s="313"/>
      <c r="X2356" s="1"/>
    </row>
    <row r="2357" spans="2:24" x14ac:dyDescent="0.35">
      <c r="D2357" s="155" t="s">
        <v>4636</v>
      </c>
      <c r="E2357" s="155"/>
      <c r="F2357" s="155"/>
      <c r="G2357" s="1"/>
      <c r="H2357" s="155"/>
      <c r="J2357" s="155"/>
      <c r="M2357" s="295"/>
      <c r="O2357" s="295"/>
      <c r="P2357" s="295"/>
      <c r="Q2357" s="295"/>
      <c r="R2357" s="295"/>
      <c r="S2357" s="295"/>
      <c r="T2357" s="1"/>
      <c r="V2357" s="313"/>
      <c r="X2357" s="1"/>
    </row>
    <row r="2358" spans="2:24" x14ac:dyDescent="0.35">
      <c r="D2358" s="155"/>
      <c r="E2358" s="155"/>
      <c r="F2358" s="155"/>
      <c r="G2358" s="1"/>
      <c r="H2358" s="155"/>
      <c r="J2358" s="155"/>
      <c r="M2358" s="295"/>
      <c r="O2358" s="295"/>
      <c r="P2358" s="295"/>
      <c r="Q2358" s="295"/>
      <c r="R2358" s="295"/>
      <c r="S2358" s="295"/>
      <c r="T2358" s="1"/>
      <c r="V2358" s="313"/>
      <c r="X2358" s="1"/>
    </row>
    <row r="2359" spans="2:24" x14ac:dyDescent="0.35">
      <c r="B2359" s="83" t="s">
        <v>4686</v>
      </c>
      <c r="D2359" s="155" t="s">
        <v>4647</v>
      </c>
      <c r="E2359" s="155"/>
      <c r="F2359" s="155"/>
      <c r="G2359" s="1"/>
      <c r="H2359" s="155"/>
      <c r="I2359" s="295"/>
      <c r="J2359" s="1" t="s">
        <v>4646</v>
      </c>
      <c r="M2359" s="295"/>
      <c r="O2359" s="295"/>
      <c r="P2359" s="295"/>
      <c r="Q2359" s="295"/>
      <c r="R2359" s="295"/>
      <c r="S2359" s="295"/>
      <c r="T2359" s="1"/>
      <c r="V2359" s="313"/>
      <c r="X2359" s="1"/>
    </row>
    <row r="2360" spans="2:24" x14ac:dyDescent="0.35">
      <c r="D2360" s="155"/>
      <c r="E2360" s="155"/>
      <c r="F2360" s="155"/>
      <c r="G2360" s="1"/>
      <c r="H2360" s="155"/>
      <c r="J2360" s="155"/>
      <c r="M2360" s="295"/>
      <c r="O2360" s="295"/>
      <c r="P2360" s="295"/>
      <c r="Q2360" s="295"/>
      <c r="R2360" s="295"/>
      <c r="S2360" s="295"/>
      <c r="T2360" s="1"/>
      <c r="V2360" s="313"/>
      <c r="X2360" s="1"/>
    </row>
    <row r="2361" spans="2:24" x14ac:dyDescent="0.35">
      <c r="B2361" s="83" t="s">
        <v>3926</v>
      </c>
      <c r="D2361" s="155" t="s">
        <v>4687</v>
      </c>
      <c r="E2361" s="155"/>
      <c r="F2361" s="155"/>
      <c r="G2361" s="1"/>
      <c r="H2361" s="155"/>
      <c r="J2361" s="155"/>
      <c r="M2361" s="295"/>
      <c r="O2361" s="295"/>
      <c r="P2361" s="295"/>
      <c r="Q2361" s="295"/>
      <c r="R2361" s="295"/>
      <c r="S2361" s="295"/>
      <c r="T2361" s="1"/>
      <c r="V2361" s="313"/>
      <c r="X2361" s="1"/>
    </row>
    <row r="2362" spans="2:24" x14ac:dyDescent="0.35">
      <c r="D2362" s="155" t="s">
        <v>4692</v>
      </c>
      <c r="E2362" s="155"/>
      <c r="F2362" s="155"/>
      <c r="G2362" s="1"/>
      <c r="H2362" s="155"/>
      <c r="J2362" s="155"/>
      <c r="M2362" s="295"/>
      <c r="O2362" s="295"/>
      <c r="P2362" s="295"/>
      <c r="Q2362" s="295"/>
      <c r="R2362" s="295"/>
      <c r="S2362" s="295"/>
      <c r="T2362" s="1"/>
      <c r="V2362" s="313"/>
      <c r="X2362" s="1"/>
    </row>
    <row r="2363" spans="2:24" x14ac:dyDescent="0.35">
      <c r="D2363" s="155"/>
      <c r="E2363" s="155"/>
      <c r="F2363" s="155"/>
      <c r="G2363" s="1"/>
      <c r="H2363" s="155"/>
      <c r="J2363" s="155"/>
      <c r="M2363" s="295"/>
      <c r="O2363" s="295"/>
      <c r="P2363" s="295"/>
      <c r="Q2363" s="295"/>
      <c r="R2363" s="295"/>
      <c r="S2363" s="295"/>
      <c r="T2363" s="1"/>
      <c r="V2363" s="313"/>
      <c r="X2363" s="1"/>
    </row>
    <row r="2364" spans="2:24" x14ac:dyDescent="0.35">
      <c r="B2364" s="83" t="s">
        <v>4667</v>
      </c>
      <c r="D2364" s="325" t="s">
        <v>4668</v>
      </c>
      <c r="E2364" s="478">
        <f>(1/(6.2*L2366))*(1/(SQRT(P2364*P2366)))</f>
        <v>5.9323266594398592E-11</v>
      </c>
      <c r="F2364" t="s">
        <v>7873</v>
      </c>
      <c r="J2364" s="155"/>
      <c r="K2364" s="318" t="s">
        <v>4672</v>
      </c>
      <c r="L2364" s="22">
        <v>5.0000000000000002E-5</v>
      </c>
      <c r="O2364" s="318" t="s">
        <v>4671</v>
      </c>
      <c r="P2364" s="162">
        <v>100000</v>
      </c>
      <c r="Q2364" s="295"/>
      <c r="R2364" s="295"/>
      <c r="S2364" s="295"/>
      <c r="T2364" s="1"/>
      <c r="V2364" s="313"/>
      <c r="X2364" s="1"/>
    </row>
    <row r="2365" spans="2:24" x14ac:dyDescent="0.35">
      <c r="D2365" s="128"/>
      <c r="E2365" s="73"/>
      <c r="J2365" s="155"/>
      <c r="K2365" s="318" t="s">
        <v>4673</v>
      </c>
      <c r="L2365">
        <v>5</v>
      </c>
      <c r="O2365" s="318" t="s">
        <v>4670</v>
      </c>
      <c r="P2365" s="162">
        <v>24000</v>
      </c>
      <c r="Q2365" s="295"/>
      <c r="R2365" s="295"/>
      <c r="S2365" s="295"/>
      <c r="T2365" s="1"/>
      <c r="V2365" s="313"/>
      <c r="X2365" s="1"/>
    </row>
    <row r="2366" spans="2:24" x14ac:dyDescent="0.35">
      <c r="D2366" s="128"/>
      <c r="E2366" s="73"/>
      <c r="J2366" s="155"/>
      <c r="K2366" s="318" t="s">
        <v>4674</v>
      </c>
      <c r="L2366" s="162">
        <f>15.45/(L2365*L2364)</f>
        <v>61799.999999999993</v>
      </c>
      <c r="O2366" s="318" t="s">
        <v>4669</v>
      </c>
      <c r="P2366" s="312">
        <f>(P2364*P2365)/SUM(P2364:P2365)</f>
        <v>19354.83870967742</v>
      </c>
      <c r="Q2366" s="295"/>
      <c r="R2366" s="295"/>
      <c r="S2366" s="295"/>
      <c r="T2366" s="1"/>
      <c r="V2366" s="313"/>
      <c r="X2366" s="1"/>
    </row>
    <row r="2367" spans="2:24" x14ac:dyDescent="0.35">
      <c r="B2367" s="83" t="s">
        <v>4675</v>
      </c>
      <c r="D2367" s="325" t="s">
        <v>4676</v>
      </c>
      <c r="E2367" s="479">
        <f>38400/(I2367-14.33)</f>
        <v>56.003616900258145</v>
      </c>
      <c r="F2367" s="155"/>
      <c r="H2367" s="318" t="s">
        <v>4682</v>
      </c>
      <c r="I2367" s="73">
        <v>700</v>
      </c>
      <c r="J2367" s="155"/>
      <c r="Q2367" s="295"/>
      <c r="R2367" s="295"/>
      <c r="S2367" s="295"/>
      <c r="T2367" s="1"/>
      <c r="V2367" s="313"/>
      <c r="X2367" s="1"/>
    </row>
    <row r="2368" spans="2:24" x14ac:dyDescent="0.35">
      <c r="D2368" s="73"/>
      <c r="E2368" s="73"/>
      <c r="H2368" s="318" t="s">
        <v>4683</v>
      </c>
      <c r="I2368" s="477">
        <f>1000*I2367</f>
        <v>700000</v>
      </c>
      <c r="J2368" s="155"/>
      <c r="K2368" s="155"/>
      <c r="L2368" s="162"/>
      <c r="N2368" s="295"/>
      <c r="O2368" s="312"/>
      <c r="Q2368" s="295"/>
      <c r="R2368" s="295"/>
      <c r="S2368" s="295"/>
      <c r="T2368" s="1"/>
      <c r="V2368" s="313"/>
      <c r="X2368" s="1"/>
    </row>
    <row r="2369" spans="1:25" x14ac:dyDescent="0.35">
      <c r="D2369" s="73"/>
      <c r="E2369" s="73"/>
      <c r="G2369" s="14"/>
      <c r="H2369" s="475"/>
      <c r="J2369" s="155"/>
      <c r="K2369" s="155"/>
      <c r="L2369" s="162"/>
      <c r="N2369" s="295"/>
      <c r="O2369" s="312"/>
      <c r="Q2369" s="295"/>
      <c r="R2369" s="295"/>
      <c r="S2369" s="295"/>
      <c r="T2369" s="1"/>
      <c r="V2369" s="313"/>
      <c r="X2369" s="1"/>
    </row>
    <row r="2370" spans="1:25" x14ac:dyDescent="0.35">
      <c r="B2370" s="83" t="s">
        <v>4677</v>
      </c>
      <c r="D2370" t="s">
        <v>4685</v>
      </c>
      <c r="F2370" s="318" t="s">
        <v>4680</v>
      </c>
      <c r="G2370" s="480">
        <f>L2365/(I2368*K2370)</f>
        <v>102.0408163265306</v>
      </c>
      <c r="H2370" s="155"/>
      <c r="I2370" s="155"/>
      <c r="J2370" s="318" t="s">
        <v>4678</v>
      </c>
      <c r="K2370" s="22">
        <v>7.0000000000000005E-8</v>
      </c>
      <c r="N2370" s="295"/>
      <c r="O2370" s="312"/>
      <c r="Q2370" s="295"/>
      <c r="R2370" s="295"/>
      <c r="S2370" s="295"/>
      <c r="T2370" s="1"/>
      <c r="V2370" s="313"/>
      <c r="X2370" s="1"/>
    </row>
    <row r="2371" spans="1:25" x14ac:dyDescent="0.35">
      <c r="F2371" s="318" t="s">
        <v>4681</v>
      </c>
      <c r="G2371" s="480">
        <f>L2365/(I2368*K2371)</f>
        <v>71.428571428571431</v>
      </c>
      <c r="H2371" s="155"/>
      <c r="I2371" s="155"/>
      <c r="J2371" s="318" t="s">
        <v>4679</v>
      </c>
      <c r="K2371" s="22">
        <v>9.9999999999999995E-8</v>
      </c>
      <c r="N2371" s="295"/>
      <c r="O2371" s="312"/>
      <c r="Q2371" s="295"/>
      <c r="R2371" s="295"/>
      <c r="S2371" s="295"/>
      <c r="T2371" s="1"/>
      <c r="V2371" s="313"/>
      <c r="X2371" s="1"/>
    </row>
    <row r="2372" spans="1:25" x14ac:dyDescent="0.35">
      <c r="D2372" s="295"/>
      <c r="E2372" s="318"/>
      <c r="F2372" s="476"/>
      <c r="G2372" s="155"/>
      <c r="H2372" s="1"/>
      <c r="I2372" s="155"/>
      <c r="K2372" s="155"/>
      <c r="L2372" s="318"/>
      <c r="M2372" s="22"/>
      <c r="O2372" s="295"/>
      <c r="P2372" s="312"/>
      <c r="R2372" s="295"/>
      <c r="S2372" s="295"/>
      <c r="T2372" s="295"/>
      <c r="U2372" s="1"/>
      <c r="W2372" s="313"/>
      <c r="X2372" s="1"/>
    </row>
    <row r="2373" spans="1:25" x14ac:dyDescent="0.35">
      <c r="B2373" s="83" t="s">
        <v>7896</v>
      </c>
      <c r="D2373" s="295" t="s">
        <v>7891</v>
      </c>
      <c r="E2373" s="295"/>
      <c r="F2373" s="316" t="s">
        <v>7897</v>
      </c>
      <c r="G2373" s="295"/>
      <c r="H2373" s="295" t="s">
        <v>7890</v>
      </c>
      <c r="I2373" s="295"/>
      <c r="J2373" s="295"/>
      <c r="K2373" s="295" t="s">
        <v>7892</v>
      </c>
      <c r="L2373" s="313"/>
      <c r="M2373" s="879"/>
      <c r="N2373" s="295"/>
      <c r="O2373" s="295"/>
      <c r="P2373" s="312"/>
      <c r="R2373" s="295"/>
      <c r="S2373" s="295"/>
      <c r="T2373" s="295"/>
      <c r="U2373" s="1"/>
      <c r="W2373" s="313"/>
      <c r="X2373" s="1"/>
    </row>
    <row r="2374" spans="1:25" x14ac:dyDescent="0.35">
      <c r="D2374" s="155" t="s">
        <v>7895</v>
      </c>
      <c r="E2374" s="155"/>
      <c r="F2374" s="1"/>
      <c r="G2374" s="1"/>
      <c r="H2374" s="1"/>
      <c r="I2374" s="1"/>
      <c r="J2374" s="1"/>
      <c r="K2374" s="1"/>
      <c r="L2374" s="1"/>
      <c r="M2374" s="1"/>
      <c r="N2374" s="1"/>
      <c r="O2374" s="295"/>
      <c r="P2374" s="312"/>
      <c r="R2374" s="295"/>
      <c r="S2374" s="295"/>
      <c r="T2374" s="295"/>
      <c r="U2374" s="1"/>
      <c r="W2374" s="313"/>
      <c r="X2374" s="1"/>
    </row>
    <row r="2375" spans="1:25" x14ac:dyDescent="0.35">
      <c r="D2375" s="295"/>
      <c r="E2375" s="325"/>
      <c r="F2375" s="155"/>
      <c r="G2375" s="155"/>
      <c r="H2375" s="1"/>
      <c r="I2375" s="155"/>
      <c r="K2375" s="155"/>
      <c r="N2375" s="295"/>
      <c r="P2375" s="295"/>
      <c r="Q2375" s="295"/>
      <c r="R2375" s="295"/>
      <c r="S2375" s="295"/>
      <c r="T2375" s="295"/>
      <c r="U2375" s="1"/>
      <c r="W2375" s="313"/>
      <c r="X2375" s="1"/>
    </row>
    <row r="2376" spans="1:25" s="5" customFormat="1" x14ac:dyDescent="0.35">
      <c r="A2376" s="86" t="s">
        <v>7859</v>
      </c>
    </row>
    <row r="2378" spans="1:25" x14ac:dyDescent="0.35">
      <c r="B2378" s="83" t="s">
        <v>2625</v>
      </c>
      <c r="C2378" s="295"/>
      <c r="D2378" s="155" t="s">
        <v>4563</v>
      </c>
      <c r="E2378" s="155"/>
      <c r="F2378" s="155"/>
      <c r="G2378" s="1"/>
      <c r="H2378" s="155"/>
      <c r="J2378" s="155"/>
      <c r="M2378" s="295"/>
      <c r="O2378" s="295"/>
      <c r="P2378" s="295"/>
      <c r="Q2378" s="295"/>
      <c r="R2378" s="295"/>
      <c r="S2378" s="295"/>
      <c r="T2378" s="1"/>
      <c r="V2378" s="313"/>
      <c r="W2378" s="1"/>
    </row>
    <row r="2379" spans="1:25" x14ac:dyDescent="0.35">
      <c r="C2379" s="295"/>
      <c r="D2379" s="155"/>
      <c r="E2379" s="155"/>
      <c r="F2379" s="155"/>
      <c r="G2379" s="1"/>
      <c r="H2379" s="155"/>
      <c r="J2379" s="155"/>
      <c r="M2379" s="295"/>
      <c r="O2379" s="295"/>
      <c r="P2379" s="295"/>
      <c r="Q2379" s="295"/>
      <c r="R2379" s="295"/>
      <c r="S2379" s="295"/>
      <c r="T2379" s="1"/>
      <c r="V2379" s="313"/>
      <c r="W2379" s="1"/>
    </row>
    <row r="2380" spans="1:25" x14ac:dyDescent="0.35">
      <c r="B2380" s="83" t="s">
        <v>9431</v>
      </c>
    </row>
    <row r="2381" spans="1:25" ht="24.5" x14ac:dyDescent="0.35">
      <c r="D2381" s="123" t="s">
        <v>2956</v>
      </c>
      <c r="E2381" s="4"/>
      <c r="F2381" s="123" t="s">
        <v>620</v>
      </c>
      <c r="G2381" s="123" t="s">
        <v>2959</v>
      </c>
      <c r="H2381" s="123" t="s">
        <v>2969</v>
      </c>
      <c r="I2381" s="123" t="s">
        <v>3011</v>
      </c>
      <c r="J2381" s="123" t="s">
        <v>3013</v>
      </c>
      <c r="K2381" s="123" t="s">
        <v>4619</v>
      </c>
      <c r="L2381" s="4"/>
      <c r="M2381" s="123" t="s">
        <v>2487</v>
      </c>
      <c r="N2381" s="123" t="s">
        <v>3014</v>
      </c>
      <c r="O2381" s="123" t="s">
        <v>4613</v>
      </c>
      <c r="P2381" s="123" t="s">
        <v>4616</v>
      </c>
      <c r="Q2381" s="123" t="s">
        <v>3038</v>
      </c>
      <c r="R2381" s="4"/>
      <c r="S2381" s="4"/>
      <c r="T2381" s="123" t="s">
        <v>2961</v>
      </c>
      <c r="U2381" s="4"/>
      <c r="V2381" s="123" t="s">
        <v>4228</v>
      </c>
    </row>
    <row r="2382" spans="1:25" x14ac:dyDescent="0.35">
      <c r="D2382" t="s">
        <v>3009</v>
      </c>
      <c r="F2382" s="336">
        <v>1.56</v>
      </c>
      <c r="G2382" s="295" t="s">
        <v>3010</v>
      </c>
      <c r="H2382" s="295" t="s">
        <v>4585</v>
      </c>
      <c r="I2382" t="s">
        <v>3012</v>
      </c>
      <c r="J2382">
        <v>1</v>
      </c>
      <c r="K2382" s="463" t="s">
        <v>4569</v>
      </c>
      <c r="N2382">
        <v>1500</v>
      </c>
      <c r="O2382" s="533" t="s">
        <v>4614</v>
      </c>
      <c r="P2382" s="533" t="s">
        <v>4617</v>
      </c>
      <c r="Q2382" s="295" t="s">
        <v>5515</v>
      </c>
      <c r="T2382" s="1" t="s">
        <v>3008</v>
      </c>
      <c r="V2382" t="s">
        <v>0</v>
      </c>
      <c r="W2382" t="s">
        <v>3245</v>
      </c>
    </row>
    <row r="2383" spans="1:25" x14ac:dyDescent="0.35">
      <c r="D2383" s="155" t="s">
        <v>4582</v>
      </c>
      <c r="E2383" s="155"/>
      <c r="F2383" s="336">
        <v>1.1000000000000001</v>
      </c>
      <c r="G2383" s="295" t="s">
        <v>3919</v>
      </c>
      <c r="H2383" s="295" t="s">
        <v>4584</v>
      </c>
      <c r="I2383" t="s">
        <v>4583</v>
      </c>
      <c r="J2383">
        <v>1</v>
      </c>
      <c r="K2383" s="295" t="s">
        <v>3919</v>
      </c>
      <c r="O2383" s="313" t="s">
        <v>3919</v>
      </c>
      <c r="P2383" s="533" t="s">
        <v>4617</v>
      </c>
      <c r="R2383" s="295"/>
      <c r="S2383" s="295"/>
      <c r="T2383" s="1" t="s">
        <v>4581</v>
      </c>
      <c r="U2383" s="295"/>
      <c r="V2383" s="295" t="s">
        <v>0</v>
      </c>
      <c r="W2383" s="1"/>
      <c r="Y2383" s="313"/>
    </row>
    <row r="2384" spans="1:25" x14ac:dyDescent="0.35">
      <c r="C2384" s="351" t="s">
        <v>0</v>
      </c>
      <c r="D2384" s="155" t="s">
        <v>4611</v>
      </c>
      <c r="E2384" s="155"/>
      <c r="F2384" s="8">
        <v>2.17</v>
      </c>
      <c r="G2384" s="295" t="s">
        <v>3919</v>
      </c>
      <c r="H2384" s="295" t="s">
        <v>3919</v>
      </c>
      <c r="I2384" s="313" t="s">
        <v>3919</v>
      </c>
      <c r="J2384" s="313" t="s">
        <v>3919</v>
      </c>
      <c r="K2384" s="295" t="s">
        <v>3919</v>
      </c>
      <c r="M2384" s="295"/>
      <c r="N2384" s="170">
        <v>1000</v>
      </c>
      <c r="O2384" s="469" t="s">
        <v>4612</v>
      </c>
      <c r="P2384">
        <v>0.2</v>
      </c>
      <c r="Q2384" s="295" t="s">
        <v>5522</v>
      </c>
      <c r="R2384" s="1"/>
      <c r="S2384" s="295"/>
      <c r="T2384" s="1" t="s">
        <v>4609</v>
      </c>
      <c r="U2384" s="1"/>
      <c r="V2384" t="s">
        <v>0</v>
      </c>
      <c r="W2384" t="s">
        <v>4610</v>
      </c>
      <c r="X2384" s="1"/>
    </row>
    <row r="2385" spans="2:27" x14ac:dyDescent="0.35">
      <c r="C2385" s="295"/>
      <c r="D2385" s="155" t="s">
        <v>4599</v>
      </c>
      <c r="E2385" s="155"/>
      <c r="F2385" s="8">
        <v>2.0099999999999998</v>
      </c>
      <c r="G2385" s="295" t="s">
        <v>3919</v>
      </c>
      <c r="H2385" s="295" t="s">
        <v>4585</v>
      </c>
      <c r="I2385" t="s">
        <v>3012</v>
      </c>
      <c r="J2385">
        <v>1</v>
      </c>
      <c r="K2385" s="295" t="s">
        <v>3919</v>
      </c>
      <c r="M2385" s="295"/>
      <c r="N2385">
        <v>3000</v>
      </c>
      <c r="O2385" s="313" t="s">
        <v>3919</v>
      </c>
      <c r="P2385">
        <v>0.3</v>
      </c>
      <c r="Q2385" s="295" t="s">
        <v>5523</v>
      </c>
      <c r="R2385" s="1"/>
      <c r="S2385" s="295"/>
      <c r="T2385" s="1" t="s">
        <v>4598</v>
      </c>
      <c r="U2385" s="1"/>
      <c r="V2385" t="s">
        <v>0</v>
      </c>
      <c r="W2385" s="467" t="s">
        <v>4600</v>
      </c>
      <c r="X2385" s="1"/>
      <c r="AA2385" t="s">
        <v>4601</v>
      </c>
    </row>
    <row r="2386" spans="2:27" x14ac:dyDescent="0.35">
      <c r="C2386" s="295"/>
      <c r="D2386" s="155" t="s">
        <v>4604</v>
      </c>
      <c r="E2386" s="155"/>
      <c r="F2386" s="8">
        <v>1.67</v>
      </c>
      <c r="G2386" s="295" t="s">
        <v>3919</v>
      </c>
      <c r="H2386" s="295" t="s">
        <v>4584</v>
      </c>
      <c r="I2386" t="s">
        <v>4583</v>
      </c>
      <c r="J2386" s="313" t="s">
        <v>3919</v>
      </c>
      <c r="K2386" s="295" t="s">
        <v>3919</v>
      </c>
      <c r="M2386" s="295"/>
      <c r="N2386" s="313" t="s">
        <v>3919</v>
      </c>
      <c r="O2386" s="313" t="s">
        <v>3919</v>
      </c>
      <c r="P2386">
        <v>0.3</v>
      </c>
      <c r="Q2386" s="295" t="s">
        <v>3919</v>
      </c>
      <c r="R2386" s="1"/>
      <c r="S2386" s="295"/>
      <c r="T2386" s="1" t="s">
        <v>4603</v>
      </c>
      <c r="U2386" s="1"/>
      <c r="V2386" t="s">
        <v>0</v>
      </c>
      <c r="W2386" t="s">
        <v>4605</v>
      </c>
      <c r="X2386" s="1"/>
    </row>
    <row r="2387" spans="2:27" x14ac:dyDescent="0.35">
      <c r="C2387" s="498" t="s">
        <v>5519</v>
      </c>
      <c r="D2387" s="155" t="s">
        <v>4608</v>
      </c>
      <c r="E2387" s="155"/>
      <c r="F2387" s="8">
        <v>2.19</v>
      </c>
      <c r="G2387" s="295" t="s">
        <v>3919</v>
      </c>
      <c r="H2387" s="295" t="s">
        <v>3919</v>
      </c>
      <c r="I2387" s="313" t="s">
        <v>3919</v>
      </c>
      <c r="J2387" s="313" t="s">
        <v>3919</v>
      </c>
      <c r="K2387" s="295" t="s">
        <v>3919</v>
      </c>
      <c r="M2387" s="468">
        <v>0.67</v>
      </c>
      <c r="N2387">
        <v>3000</v>
      </c>
      <c r="O2387" s="313" t="s">
        <v>3919</v>
      </c>
      <c r="P2387" s="73" t="s">
        <v>3656</v>
      </c>
      <c r="Q2387" s="352" t="s">
        <v>5514</v>
      </c>
      <c r="R2387" s="1"/>
      <c r="S2387" s="295"/>
      <c r="T2387" s="1" t="s">
        <v>4606</v>
      </c>
      <c r="U2387" s="1"/>
      <c r="V2387" t="s">
        <v>0</v>
      </c>
      <c r="W2387" t="s">
        <v>4607</v>
      </c>
      <c r="X2387" s="1"/>
    </row>
    <row r="2388" spans="2:27" x14ac:dyDescent="0.35">
      <c r="C2388" s="498" t="s">
        <v>3063</v>
      </c>
      <c r="D2388" s="155" t="s">
        <v>5521</v>
      </c>
      <c r="E2388" s="155"/>
      <c r="F2388" s="8">
        <v>2.31</v>
      </c>
      <c r="G2388" s="295" t="s">
        <v>3919</v>
      </c>
      <c r="H2388" s="295" t="s">
        <v>3919</v>
      </c>
      <c r="I2388" s="313" t="s">
        <v>3919</v>
      </c>
      <c r="J2388" s="313" t="s">
        <v>3919</v>
      </c>
      <c r="K2388" s="295" t="s">
        <v>3919</v>
      </c>
      <c r="M2388" s="295"/>
      <c r="N2388">
        <v>2000</v>
      </c>
      <c r="O2388" s="313" t="s">
        <v>3919</v>
      </c>
      <c r="P2388">
        <v>0.2</v>
      </c>
      <c r="Q2388" s="295" t="s">
        <v>5522</v>
      </c>
      <c r="R2388" s="1"/>
      <c r="S2388" s="295"/>
      <c r="T2388" s="1" t="s">
        <v>5520</v>
      </c>
      <c r="U2388" s="1"/>
      <c r="V2388" s="295" t="s">
        <v>7990</v>
      </c>
      <c r="W2388" t="s">
        <v>5524</v>
      </c>
      <c r="X2388" s="1"/>
    </row>
    <row r="2389" spans="2:27" x14ac:dyDescent="0.35">
      <c r="C2389" s="498" t="s">
        <v>5528</v>
      </c>
      <c r="D2389" s="155" t="s">
        <v>5526</v>
      </c>
      <c r="E2389" s="155"/>
      <c r="F2389" s="8">
        <v>2.6</v>
      </c>
      <c r="G2389" s="295" t="s">
        <v>3919</v>
      </c>
      <c r="H2389" s="295" t="s">
        <v>3919</v>
      </c>
      <c r="I2389" s="313" t="s">
        <v>3919</v>
      </c>
      <c r="J2389" s="313" t="s">
        <v>3919</v>
      </c>
      <c r="K2389" s="295" t="s">
        <v>3919</v>
      </c>
      <c r="M2389" s="295"/>
      <c r="N2389">
        <v>3000</v>
      </c>
      <c r="O2389" s="313" t="s">
        <v>3919</v>
      </c>
      <c r="P2389">
        <v>0.2</v>
      </c>
      <c r="Q2389" s="352" t="s">
        <v>5513</v>
      </c>
      <c r="R2389" s="295"/>
      <c r="S2389" s="1"/>
      <c r="T2389" s="1" t="s">
        <v>5525</v>
      </c>
      <c r="V2389" t="s">
        <v>0</v>
      </c>
      <c r="W2389" t="s">
        <v>5527</v>
      </c>
    </row>
    <row r="2390" spans="2:27" x14ac:dyDescent="0.35">
      <c r="C2390" s="498"/>
      <c r="D2390" s="155"/>
      <c r="E2390" s="155"/>
      <c r="F2390" s="8"/>
      <c r="G2390" s="295"/>
      <c r="H2390" s="295"/>
      <c r="I2390" s="313"/>
      <c r="J2390" s="313"/>
      <c r="K2390" s="295"/>
      <c r="M2390" s="295"/>
      <c r="O2390" s="313"/>
      <c r="Q2390" s="352"/>
      <c r="R2390" s="295"/>
      <c r="S2390" s="1"/>
      <c r="T2390" s="1"/>
    </row>
    <row r="2391" spans="2:27" x14ac:dyDescent="0.35">
      <c r="B2391" s="83" t="s">
        <v>9430</v>
      </c>
      <c r="C2391" s="498"/>
      <c r="D2391" s="155"/>
      <c r="E2391" s="155"/>
      <c r="F2391" s="8"/>
      <c r="G2391" s="295"/>
      <c r="H2391" s="295" t="s">
        <v>9432</v>
      </c>
      <c r="I2391" s="316" t="s">
        <v>9433</v>
      </c>
      <c r="J2391" s="313"/>
      <c r="K2391" s="295" t="s">
        <v>0</v>
      </c>
      <c r="M2391" s="295"/>
      <c r="O2391" s="313"/>
      <c r="Q2391" s="352"/>
      <c r="R2391" s="295"/>
      <c r="S2391" s="1"/>
      <c r="T2391" s="1"/>
    </row>
    <row r="2392" spans="2:27" x14ac:dyDescent="0.35">
      <c r="C2392" s="498"/>
      <c r="D2392" s="155"/>
      <c r="E2392" s="155"/>
      <c r="F2392" s="8"/>
      <c r="G2392" s="295"/>
      <c r="H2392" s="295"/>
      <c r="I2392" s="316"/>
      <c r="J2392" s="313"/>
      <c r="K2392" s="295"/>
      <c r="M2392" s="295"/>
      <c r="O2392" s="313"/>
      <c r="Q2392" s="352"/>
      <c r="R2392" s="295"/>
      <c r="S2392" s="1"/>
      <c r="T2392" s="1"/>
    </row>
    <row r="2393" spans="2:27" ht="24.5" x14ac:dyDescent="0.35">
      <c r="D2393" s="123" t="str">
        <f>D2381</f>
        <v>part #</v>
      </c>
      <c r="E2393" s="4"/>
      <c r="F2393" s="123" t="str">
        <f t="shared" ref="F2393:K2393" si="99">F2381</f>
        <v>cost</v>
      </c>
      <c r="G2393" s="123" t="str">
        <f t="shared" si="99"/>
        <v>Vin</v>
      </c>
      <c r="H2393" s="123" t="str">
        <f t="shared" si="99"/>
        <v>Vout</v>
      </c>
      <c r="I2393" s="123" t="str">
        <f t="shared" si="99"/>
        <v>current out mA</v>
      </c>
      <c r="J2393" s="123" t="str">
        <f t="shared" si="99"/>
        <v>Max Power (W)</v>
      </c>
      <c r="K2393" s="123" t="str">
        <f t="shared" si="99"/>
        <v>Regulated?</v>
      </c>
      <c r="L2393" s="4"/>
      <c r="M2393" s="123" t="str">
        <f>M2381</f>
        <v>Efficiency</v>
      </c>
      <c r="N2393" s="123" t="str">
        <f>N2381</f>
        <v>Isolation Voltage (V)</v>
      </c>
      <c r="O2393" s="123" t="str">
        <f>O2381</f>
        <v>Mount</v>
      </c>
      <c r="P2393" s="123" t="str">
        <f>P2381</f>
        <v>vin to vout space (in)</v>
      </c>
      <c r="Q2393" s="123" t="str">
        <f>Q2381</f>
        <v xml:space="preserve">Size </v>
      </c>
      <c r="R2393" s="4"/>
      <c r="S2393" s="4"/>
      <c r="T2393" s="123" t="str">
        <f>T2381</f>
        <v>webpage</v>
      </c>
      <c r="U2393" s="4"/>
      <c r="V2393" s="123" t="str">
        <f>V2381</f>
        <v>Note</v>
      </c>
    </row>
    <row r="2394" spans="2:27" x14ac:dyDescent="0.35">
      <c r="C2394" s="498"/>
      <c r="D2394" s="155" t="s">
        <v>9435</v>
      </c>
      <c r="E2394" s="155"/>
      <c r="F2394" s="315">
        <v>8.73</v>
      </c>
      <c r="G2394" s="295" t="s">
        <v>9437</v>
      </c>
      <c r="H2394" s="295" t="s">
        <v>9438</v>
      </c>
      <c r="I2394" s="313" t="s">
        <v>9440</v>
      </c>
      <c r="J2394" s="313" t="s">
        <v>9436</v>
      </c>
      <c r="K2394" s="295" t="s">
        <v>3198</v>
      </c>
      <c r="M2394" s="295" t="s">
        <v>9441</v>
      </c>
      <c r="N2394">
        <v>1500</v>
      </c>
      <c r="O2394" s="991" t="s">
        <v>9443</v>
      </c>
      <c r="Q2394" s="352" t="s">
        <v>9442</v>
      </c>
      <c r="R2394" s="295"/>
      <c r="S2394" s="1"/>
      <c r="T2394" s="1" t="s">
        <v>9434</v>
      </c>
    </row>
    <row r="2395" spans="2:27" x14ac:dyDescent="0.35">
      <c r="C2395" s="498"/>
      <c r="D2395" s="155" t="s">
        <v>9447</v>
      </c>
      <c r="E2395" s="155"/>
      <c r="F2395" s="315">
        <v>7.3</v>
      </c>
      <c r="G2395" s="295" t="s">
        <v>9444</v>
      </c>
      <c r="H2395" s="295" t="s">
        <v>9438</v>
      </c>
      <c r="I2395" s="313" t="s">
        <v>9445</v>
      </c>
      <c r="J2395" s="313" t="s">
        <v>9439</v>
      </c>
      <c r="K2395" s="295" t="s">
        <v>3198</v>
      </c>
      <c r="M2395" s="295" t="s">
        <v>9448</v>
      </c>
      <c r="N2395">
        <v>1500</v>
      </c>
      <c r="O2395" s="469" t="s">
        <v>4612</v>
      </c>
      <c r="Q2395" s="352" t="s">
        <v>9449</v>
      </c>
      <c r="R2395" s="295"/>
      <c r="S2395" s="1"/>
      <c r="T2395" s="1" t="s">
        <v>9446</v>
      </c>
    </row>
    <row r="2396" spans="2:27" ht="15" customHeight="1" x14ac:dyDescent="0.35">
      <c r="C2396" s="295"/>
      <c r="D2396" s="155"/>
      <c r="E2396" s="155"/>
      <c r="F2396" s="155"/>
      <c r="G2396" s="1"/>
      <c r="H2396" s="155"/>
      <c r="J2396" s="155"/>
      <c r="M2396" s="295"/>
      <c r="O2396" s="295"/>
      <c r="P2396" s="352"/>
      <c r="Q2396" s="1"/>
      <c r="R2396" s="295"/>
      <c r="S2396" s="1"/>
      <c r="T2396" s="1"/>
      <c r="W2396" s="1"/>
    </row>
    <row r="2397" spans="2:27" x14ac:dyDescent="0.35">
      <c r="B2397" s="83" t="s">
        <v>4618</v>
      </c>
      <c r="C2397" s="295"/>
      <c r="D2397" s="155"/>
      <c r="E2397" s="155"/>
      <c r="F2397" s="155"/>
      <c r="G2397" s="1"/>
      <c r="H2397" s="155"/>
      <c r="J2397" s="155"/>
      <c r="M2397" s="295"/>
      <c r="O2397" s="295"/>
      <c r="P2397" s="295"/>
      <c r="Q2397" s="1"/>
      <c r="R2397" s="295"/>
      <c r="S2397" s="295"/>
      <c r="T2397" s="1"/>
      <c r="V2397" s="313"/>
      <c r="W2397" s="1"/>
    </row>
    <row r="2398" spans="2:27" ht="24.5" x14ac:dyDescent="0.35">
      <c r="C2398" s="295"/>
      <c r="D2398" s="123" t="s">
        <v>2956</v>
      </c>
      <c r="E2398" s="155"/>
      <c r="F2398" s="123" t="s">
        <v>620</v>
      </c>
      <c r="G2398" s="123" t="s">
        <v>2959</v>
      </c>
      <c r="H2398" s="123" t="s">
        <v>2969</v>
      </c>
      <c r="I2398" s="123" t="s">
        <v>3011</v>
      </c>
      <c r="J2398" s="123" t="s">
        <v>3013</v>
      </c>
      <c r="K2398" s="123" t="s">
        <v>4565</v>
      </c>
      <c r="M2398" s="295"/>
      <c r="O2398" s="295"/>
      <c r="P2398" s="123" t="s">
        <v>3038</v>
      </c>
      <c r="Q2398" s="1"/>
      <c r="R2398" s="295"/>
      <c r="S2398" s="295"/>
      <c r="T2398" s="1"/>
      <c r="V2398" s="313"/>
      <c r="W2398" s="1"/>
    </row>
    <row r="2399" spans="2:27" x14ac:dyDescent="0.35">
      <c r="C2399" s="295"/>
      <c r="D2399" s="155" t="s">
        <v>4590</v>
      </c>
      <c r="E2399" s="155"/>
      <c r="F2399" s="8">
        <v>0.86</v>
      </c>
      <c r="G2399" s="295" t="s">
        <v>4587</v>
      </c>
      <c r="H2399" s="295" t="s">
        <v>4588</v>
      </c>
      <c r="I2399">
        <v>600</v>
      </c>
      <c r="J2399" s="155"/>
      <c r="K2399" s="53">
        <v>0.03</v>
      </c>
      <c r="M2399" s="295"/>
      <c r="O2399" s="295"/>
      <c r="P2399" s="295" t="s">
        <v>4589</v>
      </c>
      <c r="Q2399" s="1"/>
      <c r="R2399" s="295"/>
      <c r="S2399" s="1" t="s">
        <v>4586</v>
      </c>
      <c r="T2399" s="1"/>
      <c r="U2399" t="s">
        <v>0</v>
      </c>
      <c r="V2399" s="313"/>
      <c r="W2399" s="1"/>
    </row>
    <row r="2400" spans="2:27" x14ac:dyDescent="0.35">
      <c r="C2400" s="295"/>
      <c r="D2400" s="155" t="s">
        <v>4592</v>
      </c>
      <c r="E2400" s="155"/>
      <c r="F2400" s="336">
        <v>1.1299999999999999</v>
      </c>
      <c r="G2400" t="s">
        <v>4593</v>
      </c>
      <c r="H2400" s="155"/>
      <c r="J2400" s="155"/>
      <c r="M2400" s="295"/>
      <c r="O2400" s="295"/>
      <c r="P2400" s="295"/>
      <c r="Q2400" s="1"/>
      <c r="R2400" s="295"/>
      <c r="S2400" s="1" t="s">
        <v>4591</v>
      </c>
      <c r="T2400" s="1"/>
      <c r="U2400" t="s">
        <v>0</v>
      </c>
      <c r="V2400" s="313"/>
      <c r="W2400" s="1"/>
    </row>
    <row r="2401" spans="2:23" x14ac:dyDescent="0.35">
      <c r="C2401" s="295"/>
      <c r="D2401" s="155"/>
      <c r="E2401" s="155"/>
      <c r="F2401" s="155"/>
      <c r="G2401" s="1"/>
      <c r="H2401" s="155"/>
      <c r="J2401" s="155"/>
      <c r="M2401" s="295"/>
      <c r="O2401" s="295"/>
      <c r="P2401" s="295"/>
      <c r="Q2401" s="1"/>
      <c r="R2401" s="295"/>
      <c r="S2401" s="295"/>
      <c r="T2401" s="1"/>
      <c r="V2401" s="313"/>
      <c r="W2401" s="1"/>
    </row>
    <row r="2402" spans="2:23" x14ac:dyDescent="0.35">
      <c r="B2402" s="83" t="s">
        <v>5118</v>
      </c>
      <c r="C2402" s="295"/>
      <c r="D2402" s="155"/>
      <c r="E2402" s="155"/>
      <c r="F2402" s="155"/>
      <c r="G2402" s="1"/>
      <c r="H2402" s="155"/>
      <c r="J2402" s="155"/>
      <c r="M2402" s="295"/>
      <c r="O2402" s="295"/>
      <c r="P2402" s="295"/>
      <c r="Q2402" s="1"/>
      <c r="R2402" s="295"/>
      <c r="S2402" s="295"/>
      <c r="T2402" s="1"/>
      <c r="V2402" s="313"/>
      <c r="W2402" s="1"/>
    </row>
    <row r="2403" spans="2:23" ht="24.5" x14ac:dyDescent="0.35">
      <c r="C2403" s="295"/>
      <c r="D2403" s="307" t="s">
        <v>4545</v>
      </c>
      <c r="E2403" s="155"/>
      <c r="F2403" s="307" t="s">
        <v>4550</v>
      </c>
      <c r="G2403" s="1"/>
      <c r="H2403" s="307" t="s">
        <v>294</v>
      </c>
      <c r="I2403" s="307" t="s">
        <v>4551</v>
      </c>
      <c r="J2403" s="155"/>
      <c r="K2403" s="123" t="s">
        <v>4619</v>
      </c>
      <c r="L2403" s="123" t="s">
        <v>4718</v>
      </c>
      <c r="M2403" s="307" t="s">
        <v>4552</v>
      </c>
      <c r="O2403" s="307" t="s">
        <v>2665</v>
      </c>
      <c r="P2403" s="295"/>
      <c r="Q2403" s="295"/>
      <c r="S2403" s="295"/>
      <c r="T2403" s="1"/>
      <c r="V2403" s="313"/>
      <c r="W2403" s="1"/>
    </row>
    <row r="2404" spans="2:23" x14ac:dyDescent="0.35">
      <c r="C2404" s="295"/>
      <c r="D2404" s="155" t="s">
        <v>4546</v>
      </c>
      <c r="E2404" s="155"/>
      <c r="F2404" s="295" t="s">
        <v>4541</v>
      </c>
      <c r="G2404" s="1"/>
      <c r="H2404" s="295" t="s">
        <v>3656</v>
      </c>
      <c r="I2404">
        <v>2011</v>
      </c>
      <c r="J2404" s="155"/>
      <c r="K2404" s="503" t="s">
        <v>3484</v>
      </c>
      <c r="L2404" t="s">
        <v>3198</v>
      </c>
      <c r="M2404" s="1" t="s">
        <v>4535</v>
      </c>
      <c r="N2404" t="s">
        <v>0</v>
      </c>
      <c r="O2404" s="295"/>
      <c r="P2404" s="295"/>
      <c r="Q2404" s="155" t="s">
        <v>4536</v>
      </c>
      <c r="S2404" s="295"/>
      <c r="T2404" s="1"/>
      <c r="V2404" s="313"/>
      <c r="W2404" s="1"/>
    </row>
    <row r="2405" spans="2:23" x14ac:dyDescent="0.35">
      <c r="C2405" s="295"/>
      <c r="D2405" s="155" t="s">
        <v>4547</v>
      </c>
      <c r="E2405" s="155"/>
      <c r="F2405" s="295" t="s">
        <v>4541</v>
      </c>
      <c r="G2405" s="1"/>
      <c r="H2405" s="295" t="s">
        <v>3656</v>
      </c>
      <c r="I2405">
        <v>2011</v>
      </c>
      <c r="J2405" s="155"/>
      <c r="K2405" s="503" t="s">
        <v>3484</v>
      </c>
      <c r="L2405" t="s">
        <v>3198</v>
      </c>
      <c r="M2405" s="1" t="s">
        <v>4537</v>
      </c>
      <c r="N2405" t="s">
        <v>0</v>
      </c>
      <c r="O2405" s="295"/>
      <c r="P2405" s="295"/>
      <c r="Q2405" s="155" t="s">
        <v>4538</v>
      </c>
      <c r="S2405" s="295"/>
      <c r="T2405" s="1"/>
      <c r="V2405" s="313"/>
      <c r="W2405" s="1"/>
    </row>
    <row r="2406" spans="2:23" x14ac:dyDescent="0.35">
      <c r="C2406" s="295"/>
      <c r="D2406" s="155" t="s">
        <v>4548</v>
      </c>
      <c r="E2406" s="155"/>
      <c r="F2406" s="295" t="s">
        <v>4541</v>
      </c>
      <c r="G2406" s="1"/>
      <c r="H2406" s="295" t="s">
        <v>4560</v>
      </c>
      <c r="I2406">
        <v>2014</v>
      </c>
      <c r="J2406" s="155"/>
      <c r="K2406" s="503" t="s">
        <v>3484</v>
      </c>
      <c r="L2406" t="s">
        <v>3198</v>
      </c>
      <c r="M2406" s="1" t="s">
        <v>4539</v>
      </c>
      <c r="N2406" t="s">
        <v>0</v>
      </c>
      <c r="O2406" s="295"/>
      <c r="P2406" s="295"/>
      <c r="Q2406" s="155" t="s">
        <v>4540</v>
      </c>
      <c r="S2406" s="295"/>
      <c r="T2406" s="1"/>
      <c r="V2406" s="313"/>
      <c r="W2406" s="1"/>
    </row>
    <row r="2407" spans="2:23" x14ac:dyDescent="0.35">
      <c r="C2407" s="295"/>
      <c r="D2407" s="155" t="s">
        <v>4549</v>
      </c>
      <c r="E2407" s="155"/>
      <c r="F2407" s="295" t="s">
        <v>4541</v>
      </c>
      <c r="G2407" s="1"/>
      <c r="H2407" s="295" t="s">
        <v>4561</v>
      </c>
      <c r="I2407">
        <v>2015</v>
      </c>
      <c r="J2407" s="155"/>
      <c r="K2407" s="503" t="s">
        <v>3484</v>
      </c>
      <c r="L2407" t="s">
        <v>3198</v>
      </c>
      <c r="M2407" s="1" t="s">
        <v>4542</v>
      </c>
      <c r="N2407" t="s">
        <v>0</v>
      </c>
      <c r="O2407" s="1" t="s">
        <v>4544</v>
      </c>
      <c r="P2407" s="295" t="s">
        <v>0</v>
      </c>
      <c r="Q2407" s="155" t="s">
        <v>4543</v>
      </c>
      <c r="S2407" s="295"/>
      <c r="T2407" s="1"/>
      <c r="V2407" s="313"/>
      <c r="W2407" s="1"/>
    </row>
    <row r="2408" spans="2:23" x14ac:dyDescent="0.35">
      <c r="C2408" s="295"/>
      <c r="D2408" s="155" t="s">
        <v>4557</v>
      </c>
      <c r="E2408" s="155"/>
      <c r="F2408" s="295" t="s">
        <v>4541</v>
      </c>
      <c r="G2408" s="1"/>
      <c r="H2408" s="295"/>
      <c r="I2408">
        <v>2011</v>
      </c>
      <c r="J2408" s="155"/>
      <c r="K2408" s="503" t="s">
        <v>3484</v>
      </c>
      <c r="L2408" t="s">
        <v>3198</v>
      </c>
      <c r="M2408" s="1" t="s">
        <v>4556</v>
      </c>
      <c r="N2408" t="s">
        <v>0</v>
      </c>
      <c r="O2408" s="1"/>
      <c r="P2408" s="295"/>
      <c r="Q2408" s="155" t="s">
        <v>4558</v>
      </c>
      <c r="S2408" s="295"/>
      <c r="T2408" s="1"/>
      <c r="V2408" s="313"/>
      <c r="W2408" s="1"/>
    </row>
    <row r="2409" spans="2:23" x14ac:dyDescent="0.35">
      <c r="C2409" s="295"/>
      <c r="D2409" s="155" t="s">
        <v>5112</v>
      </c>
      <c r="E2409" s="155"/>
      <c r="F2409" s="295" t="s">
        <v>5113</v>
      </c>
      <c r="G2409" s="1"/>
      <c r="H2409" s="295"/>
      <c r="J2409" s="155"/>
      <c r="K2409" t="s">
        <v>3198</v>
      </c>
      <c r="L2409" s="503" t="s">
        <v>3484</v>
      </c>
      <c r="M2409" s="1"/>
      <c r="O2409" s="1"/>
      <c r="P2409" s="295"/>
      <c r="Q2409" s="155" t="s">
        <v>5124</v>
      </c>
      <c r="S2409" s="295"/>
      <c r="T2409" s="1"/>
      <c r="V2409" s="313"/>
      <c r="W2409" s="1"/>
    </row>
    <row r="2410" spans="2:23" x14ac:dyDescent="0.35">
      <c r="C2410" s="295"/>
      <c r="D2410" s="155" t="s">
        <v>5127</v>
      </c>
      <c r="E2410" s="155"/>
      <c r="F2410" s="295" t="s">
        <v>5128</v>
      </c>
      <c r="G2410" s="1"/>
      <c r="H2410" s="295"/>
      <c r="J2410" s="155"/>
      <c r="K2410" s="503" t="s">
        <v>3484</v>
      </c>
      <c r="L2410" t="s">
        <v>3198</v>
      </c>
      <c r="M2410" s="1"/>
      <c r="O2410" s="1"/>
      <c r="P2410" s="295"/>
      <c r="Q2410" s="155" t="s">
        <v>5129</v>
      </c>
      <c r="S2410" s="295"/>
      <c r="T2410" s="1"/>
      <c r="V2410" s="313"/>
      <c r="W2410" s="1"/>
    </row>
    <row r="2411" spans="2:23" x14ac:dyDescent="0.35">
      <c r="C2411" s="295"/>
      <c r="D2411" s="155"/>
      <c r="E2411" s="155"/>
      <c r="F2411" s="295"/>
      <c r="G2411" s="1"/>
      <c r="H2411" s="295"/>
      <c r="J2411" s="155"/>
      <c r="M2411" s="1"/>
      <c r="O2411" s="1"/>
      <c r="P2411" s="295"/>
      <c r="Q2411" s="155"/>
      <c r="S2411" s="295"/>
      <c r="T2411" s="1"/>
      <c r="V2411" s="313"/>
      <c r="W2411" s="1"/>
    </row>
    <row r="2412" spans="2:23" x14ac:dyDescent="0.35">
      <c r="B2412" s="83" t="s">
        <v>5125</v>
      </c>
      <c r="C2412" s="295"/>
      <c r="D2412" s="155" t="s">
        <v>5126</v>
      </c>
      <c r="E2412" s="155"/>
      <c r="F2412" s="295"/>
      <c r="G2412" s="1"/>
      <c r="H2412" s="295"/>
      <c r="J2412" s="155"/>
      <c r="M2412" s="1"/>
      <c r="O2412" s="1"/>
      <c r="P2412" s="295"/>
      <c r="Q2412" s="155"/>
      <c r="S2412" s="295"/>
      <c r="T2412" s="1"/>
      <c r="V2412" s="313"/>
      <c r="W2412" s="1"/>
    </row>
    <row r="2413" spans="2:23" x14ac:dyDescent="0.35">
      <c r="C2413" s="295"/>
      <c r="D2413" s="155"/>
      <c r="E2413" s="155"/>
      <c r="F2413" s="295"/>
      <c r="G2413" s="1"/>
      <c r="H2413" s="295"/>
      <c r="J2413" s="155"/>
      <c r="M2413" s="1"/>
      <c r="O2413" s="1"/>
      <c r="P2413" s="295"/>
      <c r="Q2413" s="155"/>
      <c r="S2413" s="295"/>
      <c r="T2413" s="1"/>
      <c r="V2413" s="313"/>
      <c r="W2413" s="1"/>
    </row>
    <row r="2414" spans="2:23" x14ac:dyDescent="0.35">
      <c r="B2414" s="83" t="s">
        <v>4567</v>
      </c>
      <c r="C2414" s="295"/>
      <c r="D2414" s="155" t="s">
        <v>4562</v>
      </c>
      <c r="E2414" s="155"/>
      <c r="F2414" s="295"/>
      <c r="G2414" s="1"/>
      <c r="H2414" s="295"/>
      <c r="J2414" s="155" t="s">
        <v>4620</v>
      </c>
      <c r="M2414" s="1"/>
      <c r="O2414" s="1"/>
      <c r="P2414" s="295"/>
      <c r="Q2414" s="155"/>
      <c r="S2414" s="295"/>
      <c r="T2414" s="1"/>
      <c r="V2414" s="313"/>
      <c r="W2414" s="1"/>
    </row>
    <row r="2415" spans="2:23" x14ac:dyDescent="0.35">
      <c r="C2415" s="295"/>
      <c r="D2415" s="155"/>
      <c r="E2415" s="155"/>
      <c r="F2415" s="295"/>
      <c r="G2415" s="1"/>
      <c r="H2415" s="155"/>
      <c r="J2415" s="155"/>
      <c r="M2415" s="1"/>
      <c r="O2415" s="1"/>
      <c r="P2415" s="295"/>
      <c r="Q2415" s="155"/>
      <c r="S2415" s="295"/>
      <c r="T2415" s="1"/>
      <c r="V2415" s="313"/>
      <c r="W2415" s="1"/>
    </row>
    <row r="2416" spans="2:23" x14ac:dyDescent="0.35">
      <c r="B2416" s="83" t="s">
        <v>2215</v>
      </c>
      <c r="C2416" s="295"/>
      <c r="D2416" s="155" t="s">
        <v>4602</v>
      </c>
      <c r="F2416" s="155"/>
      <c r="G2416" s="1"/>
      <c r="H2416" s="155"/>
      <c r="J2416" s="155" t="s">
        <v>4620</v>
      </c>
      <c r="L2416" s="1" t="s">
        <v>4559</v>
      </c>
      <c r="M2416" s="295"/>
      <c r="O2416" s="295"/>
      <c r="P2416" s="295"/>
      <c r="Q2416" s="295"/>
      <c r="R2416" s="295"/>
      <c r="S2416" s="295"/>
      <c r="T2416" s="1"/>
      <c r="V2416" s="313"/>
      <c r="W2416" s="1"/>
    </row>
    <row r="2417" spans="2:23" x14ac:dyDescent="0.35">
      <c r="C2417" s="295"/>
      <c r="D2417" s="155"/>
      <c r="F2417" s="155"/>
      <c r="G2417" s="1"/>
      <c r="H2417" s="155"/>
      <c r="J2417" s="155"/>
      <c r="L2417" s="1"/>
      <c r="M2417" s="295"/>
      <c r="O2417" s="295"/>
      <c r="P2417" s="295"/>
      <c r="Q2417" s="295"/>
      <c r="R2417" s="295"/>
      <c r="S2417" s="295"/>
      <c r="T2417" s="1"/>
      <c r="V2417" s="313"/>
      <c r="W2417" s="1"/>
    </row>
    <row r="2418" spans="2:23" x14ac:dyDescent="0.35">
      <c r="B2418" s="83" t="s">
        <v>4554</v>
      </c>
      <c r="C2418" s="295"/>
      <c r="D2418" s="155" t="s">
        <v>4555</v>
      </c>
      <c r="F2418" s="155"/>
      <c r="G2418" s="1"/>
      <c r="H2418" s="155"/>
      <c r="J2418" s="155"/>
      <c r="L2418" s="1" t="s">
        <v>4553</v>
      </c>
      <c r="M2418" s="295"/>
      <c r="O2418" s="295"/>
      <c r="P2418" s="295"/>
      <c r="Q2418" s="295"/>
      <c r="R2418" s="295"/>
      <c r="S2418" s="295"/>
      <c r="T2418" s="1"/>
      <c r="V2418" s="313"/>
      <c r="W2418" s="1"/>
    </row>
    <row r="2419" spans="2:23" x14ac:dyDescent="0.35">
      <c r="C2419" s="295"/>
      <c r="D2419" s="155"/>
      <c r="F2419" s="155"/>
      <c r="G2419" s="1"/>
      <c r="H2419" s="155"/>
      <c r="J2419" s="155"/>
      <c r="L2419" s="1"/>
      <c r="M2419" s="295"/>
      <c r="O2419" s="295"/>
      <c r="P2419" s="295"/>
      <c r="Q2419" s="295"/>
      <c r="R2419" s="295"/>
      <c r="S2419" s="295"/>
      <c r="T2419" s="1"/>
      <c r="V2419" s="313"/>
      <c r="W2419" s="1"/>
    </row>
    <row r="2420" spans="2:23" x14ac:dyDescent="0.35">
      <c r="B2420" s="83" t="s">
        <v>4626</v>
      </c>
      <c r="C2420" s="295"/>
      <c r="D2420" s="470" t="s">
        <v>4625</v>
      </c>
      <c r="F2420" s="155" t="s">
        <v>4624</v>
      </c>
      <c r="H2420" s="155"/>
      <c r="I2420" s="1"/>
      <c r="J2420" s="155"/>
      <c r="M2420" s="155"/>
      <c r="O2420" s="1"/>
      <c r="P2420" s="295"/>
      <c r="Q2420" s="295"/>
      <c r="R2420" s="295"/>
      <c r="S2420" s="295"/>
      <c r="T2420" s="1"/>
      <c r="V2420" s="313"/>
      <c r="W2420" s="1"/>
    </row>
    <row r="2421" spans="2:23" x14ac:dyDescent="0.35">
      <c r="C2421" s="295"/>
      <c r="D2421" s="470"/>
      <c r="F2421" s="155"/>
      <c r="H2421" s="155"/>
      <c r="I2421" s="1"/>
      <c r="J2421" s="155"/>
      <c r="M2421" s="155"/>
      <c r="O2421" s="1"/>
      <c r="P2421" s="295"/>
      <c r="Q2421" s="295"/>
      <c r="R2421" s="295"/>
      <c r="S2421" s="295"/>
      <c r="T2421" s="1"/>
      <c r="V2421" s="313"/>
      <c r="W2421" s="1"/>
    </row>
    <row r="2422" spans="2:23" x14ac:dyDescent="0.35">
      <c r="C2422" s="295"/>
      <c r="D2422" s="470"/>
      <c r="F2422" s="155" t="s">
        <v>4621</v>
      </c>
      <c r="G2422" t="s">
        <v>4622</v>
      </c>
      <c r="H2422" s="155"/>
      <c r="I2422" s="1"/>
      <c r="J2422" s="155"/>
      <c r="M2422" s="155"/>
      <c r="O2422" s="1"/>
      <c r="P2422" s="295"/>
      <c r="Q2422" s="295"/>
      <c r="R2422" s="295"/>
      <c r="S2422" s="295"/>
      <c r="T2422" s="1"/>
      <c r="V2422" s="313"/>
      <c r="W2422" s="1"/>
    </row>
    <row r="2423" spans="2:23" x14ac:dyDescent="0.35">
      <c r="C2423" s="295"/>
      <c r="D2423" s="470"/>
      <c r="F2423" s="155"/>
      <c r="G2423" t="s">
        <v>4623</v>
      </c>
      <c r="H2423" s="155"/>
      <c r="I2423" s="1"/>
      <c r="J2423" s="155"/>
      <c r="M2423" s="155"/>
      <c r="O2423" s="1"/>
      <c r="P2423" s="295"/>
      <c r="Q2423" s="295"/>
      <c r="R2423" s="295"/>
      <c r="S2423" s="295"/>
      <c r="T2423" s="1"/>
      <c r="V2423" s="313"/>
      <c r="W2423" s="1"/>
    </row>
    <row r="2424" spans="2:23" x14ac:dyDescent="0.35">
      <c r="C2424" s="295"/>
      <c r="D2424" s="470"/>
      <c r="F2424" s="155"/>
      <c r="H2424" s="155"/>
      <c r="I2424" s="1"/>
      <c r="J2424" s="155"/>
      <c r="M2424" s="155"/>
      <c r="O2424" s="1"/>
      <c r="P2424" s="295"/>
      <c r="Q2424" s="295"/>
      <c r="R2424" s="295"/>
      <c r="S2424" s="295"/>
      <c r="T2424" s="1"/>
      <c r="V2424" s="313"/>
      <c r="W2424" s="1"/>
    </row>
    <row r="2425" spans="2:23" x14ac:dyDescent="0.35">
      <c r="C2425" s="295"/>
      <c r="D2425" s="470" t="s">
        <v>4627</v>
      </c>
      <c r="F2425" s="155" t="s">
        <v>4628</v>
      </c>
      <c r="H2425" s="155"/>
      <c r="I2425" s="1"/>
      <c r="J2425" s="155"/>
      <c r="M2425" s="155"/>
      <c r="O2425" s="1"/>
      <c r="P2425" s="295"/>
      <c r="Q2425" s="295"/>
      <c r="R2425" s="295"/>
      <c r="S2425" s="295"/>
      <c r="T2425" s="1"/>
      <c r="V2425" s="313"/>
      <c r="W2425" s="1"/>
    </row>
    <row r="2426" spans="2:23" x14ac:dyDescent="0.35">
      <c r="C2426" s="295"/>
      <c r="M2426" s="295"/>
      <c r="O2426" s="295"/>
      <c r="P2426" s="295"/>
      <c r="Q2426" s="295"/>
      <c r="R2426" s="295"/>
      <c r="S2426" s="295"/>
      <c r="T2426" s="1"/>
      <c r="V2426" s="313"/>
      <c r="W2426" s="1"/>
    </row>
    <row r="2427" spans="2:23" x14ac:dyDescent="0.35">
      <c r="B2427" s="83" t="s">
        <v>4629</v>
      </c>
      <c r="C2427" s="295"/>
      <c r="D2427" s="155"/>
      <c r="F2427" s="155"/>
      <c r="G2427" s="1"/>
      <c r="H2427" s="155"/>
      <c r="J2427" s="155"/>
      <c r="L2427" s="1"/>
      <c r="M2427" s="295"/>
      <c r="O2427" s="295"/>
      <c r="P2427" s="295"/>
      <c r="Q2427" s="295"/>
      <c r="R2427" s="295"/>
      <c r="S2427" s="295"/>
      <c r="T2427" s="1"/>
      <c r="V2427" s="313"/>
      <c r="W2427" s="1"/>
    </row>
    <row r="2428" spans="2:23" x14ac:dyDescent="0.35">
      <c r="C2428" s="351" t="s">
        <v>3063</v>
      </c>
      <c r="D2428" t="s">
        <v>4579</v>
      </c>
      <c r="F2428" s="155" t="s">
        <v>4573</v>
      </c>
      <c r="G2428" s="155"/>
      <c r="H2428" s="1"/>
      <c r="I2428" s="155"/>
      <c r="K2428" s="155"/>
      <c r="L2428" t="s">
        <v>4574</v>
      </c>
      <c r="M2428" s="1"/>
      <c r="O2428" s="295"/>
      <c r="P2428" s="295"/>
      <c r="Q2428" s="295"/>
      <c r="R2428" s="295"/>
      <c r="S2428" s="295"/>
      <c r="T2428" s="1"/>
      <c r="V2428" s="313"/>
      <c r="W2428" s="1"/>
    </row>
    <row r="2429" spans="2:23" x14ac:dyDescent="0.35">
      <c r="C2429" s="295"/>
      <c r="D2429" s="155"/>
      <c r="F2429" s="155" t="s">
        <v>4576</v>
      </c>
      <c r="G2429" s="155"/>
      <c r="H2429" s="1"/>
      <c r="I2429" s="155"/>
      <c r="K2429" s="155"/>
      <c r="L2429" t="s">
        <v>4575</v>
      </c>
      <c r="M2429" s="1"/>
      <c r="O2429" s="295"/>
      <c r="P2429" s="295"/>
      <c r="Q2429" s="295"/>
      <c r="R2429" s="295"/>
      <c r="S2429" s="295"/>
      <c r="T2429" s="1"/>
      <c r="V2429" s="313"/>
      <c r="W2429" s="1"/>
    </row>
    <row r="2430" spans="2:23" x14ac:dyDescent="0.35">
      <c r="C2430" s="295"/>
      <c r="D2430" s="155"/>
      <c r="F2430" t="s">
        <v>4578</v>
      </c>
      <c r="G2430" s="155"/>
      <c r="H2430" s="1"/>
      <c r="I2430" s="155"/>
      <c r="K2430" s="295"/>
      <c r="L2430" t="s">
        <v>4577</v>
      </c>
      <c r="M2430" s="1"/>
      <c r="O2430" s="295"/>
      <c r="P2430" s="295"/>
      <c r="Q2430" s="295"/>
      <c r="R2430" s="295"/>
      <c r="S2430" s="295"/>
      <c r="T2430" s="1"/>
      <c r="V2430" s="313"/>
      <c r="W2430" s="1"/>
    </row>
    <row r="2431" spans="2:23" x14ac:dyDescent="0.35">
      <c r="C2431" s="295"/>
      <c r="D2431" s="155"/>
      <c r="G2431" s="155"/>
      <c r="H2431" s="1"/>
      <c r="I2431" s="155"/>
      <c r="K2431" s="295"/>
      <c r="M2431" s="1"/>
      <c r="O2431" s="295"/>
      <c r="P2431" s="295"/>
      <c r="Q2431" s="295"/>
      <c r="R2431" s="295"/>
      <c r="S2431" s="295"/>
      <c r="T2431" s="1"/>
      <c r="V2431" s="313"/>
      <c r="W2431" s="1"/>
    </row>
    <row r="2432" spans="2:23" x14ac:dyDescent="0.35">
      <c r="C2432" s="295"/>
      <c r="D2432" s="155"/>
      <c r="F2432" t="s">
        <v>4580</v>
      </c>
      <c r="G2432" s="155">
        <v>1</v>
      </c>
      <c r="H2432" s="464">
        <v>0.16</v>
      </c>
      <c r="I2432" s="186">
        <f>G2432*H2432</f>
        <v>0.16</v>
      </c>
      <c r="J2432" t="s">
        <v>4578</v>
      </c>
      <c r="M2432" s="1"/>
      <c r="O2432" s="295"/>
      <c r="P2432" s="295"/>
      <c r="Q2432" s="295"/>
      <c r="R2432" s="295"/>
      <c r="S2432" s="295"/>
      <c r="T2432" s="1"/>
      <c r="V2432" s="313"/>
      <c r="W2432" s="1"/>
    </row>
    <row r="2433" spans="1:24" x14ac:dyDescent="0.35">
      <c r="C2433" s="295"/>
      <c r="D2433" s="155"/>
      <c r="F2433" s="155"/>
      <c r="G2433" s="155">
        <v>3</v>
      </c>
      <c r="H2433" s="464">
        <v>4.3999999999999997E-2</v>
      </c>
      <c r="I2433" s="186">
        <f>G2433*H2433</f>
        <v>0.13200000000000001</v>
      </c>
      <c r="J2433" t="s">
        <v>4597</v>
      </c>
      <c r="K2433" s="295"/>
      <c r="L2433" s="1"/>
      <c r="M2433" s="295"/>
      <c r="O2433" s="295"/>
      <c r="P2433" s="295"/>
      <c r="Q2433" s="295"/>
      <c r="R2433" s="295"/>
      <c r="S2433" s="295"/>
      <c r="T2433" s="1"/>
      <c r="V2433" s="313"/>
      <c r="W2433" s="1"/>
    </row>
    <row r="2434" spans="1:24" x14ac:dyDescent="0.35">
      <c r="C2434" s="295"/>
      <c r="D2434" s="155"/>
      <c r="F2434" s="155"/>
      <c r="G2434" s="232">
        <v>1</v>
      </c>
      <c r="H2434" s="465">
        <v>0.06</v>
      </c>
      <c r="I2434" s="466">
        <f>G2434*H2434</f>
        <v>0.06</v>
      </c>
      <c r="J2434" t="s">
        <v>4596</v>
      </c>
      <c r="K2434" s="295"/>
      <c r="L2434" s="1"/>
      <c r="M2434" s="295"/>
      <c r="O2434" s="295"/>
      <c r="P2434" s="295"/>
      <c r="Q2434" s="295"/>
      <c r="R2434" s="295"/>
      <c r="S2434" s="295"/>
      <c r="T2434" s="1"/>
      <c r="V2434" s="313"/>
      <c r="W2434" s="1"/>
    </row>
    <row r="2435" spans="1:24" x14ac:dyDescent="0.35">
      <c r="C2435" s="295"/>
      <c r="D2435" s="155"/>
      <c r="F2435" s="155"/>
      <c r="G2435" s="155"/>
      <c r="H2435" s="464"/>
      <c r="I2435" s="186">
        <f>SUM(I2432:I2434)</f>
        <v>0.35200000000000004</v>
      </c>
      <c r="K2435" s="295"/>
      <c r="L2435" s="1"/>
      <c r="M2435" s="295"/>
      <c r="O2435" s="295"/>
      <c r="P2435" s="295"/>
      <c r="Q2435" s="295"/>
      <c r="R2435" s="295"/>
      <c r="S2435" s="295"/>
      <c r="T2435" s="1"/>
      <c r="V2435" s="313"/>
      <c r="W2435" s="1"/>
    </row>
    <row r="2436" spans="1:24" x14ac:dyDescent="0.35">
      <c r="C2436" s="295"/>
      <c r="D2436" s="155"/>
      <c r="F2436" s="155"/>
      <c r="G2436" s="1"/>
      <c r="H2436" s="155"/>
      <c r="J2436" s="155"/>
      <c r="L2436" s="1"/>
      <c r="M2436" s="295"/>
      <c r="O2436" s="295"/>
      <c r="P2436" s="295"/>
      <c r="Q2436" s="295"/>
      <c r="R2436" s="295"/>
      <c r="S2436" s="295"/>
      <c r="T2436" s="1"/>
      <c r="V2436" s="313"/>
      <c r="W2436" s="1"/>
    </row>
    <row r="2437" spans="1:24" x14ac:dyDescent="0.35">
      <c r="B2437" s="83" t="s">
        <v>4572</v>
      </c>
      <c r="C2437" s="295"/>
      <c r="D2437" s="688" t="s">
        <v>4630</v>
      </c>
      <c r="F2437" s="155"/>
      <c r="G2437" s="1"/>
      <c r="H2437" s="155"/>
      <c r="J2437" s="155"/>
      <c r="L2437" s="1"/>
      <c r="M2437" s="295"/>
      <c r="O2437" s="295"/>
      <c r="P2437" s="295"/>
      <c r="Q2437" s="295"/>
      <c r="R2437" s="295"/>
      <c r="S2437" s="295"/>
      <c r="T2437" s="1"/>
      <c r="V2437" s="313"/>
      <c r="W2437" s="1"/>
    </row>
    <row r="2438" spans="1:24" x14ac:dyDescent="0.35">
      <c r="C2438" s="295"/>
      <c r="D2438" s="688" t="s">
        <v>4631</v>
      </c>
      <c r="F2438" s="155"/>
      <c r="G2438" s="1"/>
      <c r="H2438" s="155"/>
      <c r="J2438" s="155"/>
      <c r="L2438" s="1"/>
      <c r="M2438" s="295"/>
      <c r="O2438" s="295"/>
      <c r="P2438" s="295"/>
      <c r="Q2438" s="295"/>
      <c r="R2438" s="295"/>
      <c r="S2438" s="295"/>
      <c r="T2438" s="1"/>
      <c r="V2438" s="313"/>
      <c r="W2438" s="1"/>
    </row>
    <row r="2439" spans="1:24" x14ac:dyDescent="0.35">
      <c r="D2439" s="295"/>
      <c r="E2439" s="155"/>
      <c r="G2439" s="155"/>
      <c r="H2439" s="1"/>
      <c r="I2439" s="155"/>
      <c r="K2439" s="155"/>
      <c r="M2439" s="1"/>
      <c r="N2439" s="295"/>
      <c r="P2439" s="295"/>
      <c r="Q2439" s="295"/>
      <c r="R2439" s="295"/>
      <c r="S2439" s="295"/>
      <c r="T2439" s="295"/>
      <c r="U2439" s="1"/>
      <c r="W2439" s="313"/>
      <c r="X2439" s="1"/>
    </row>
    <row r="2440" spans="1:24" s="5" customFormat="1" x14ac:dyDescent="0.35">
      <c r="A2440" s="86" t="s">
        <v>7858</v>
      </c>
    </row>
    <row r="2441" spans="1:24" x14ac:dyDescent="0.35">
      <c r="D2441" s="295"/>
      <c r="E2441" s="155"/>
      <c r="G2441" s="155"/>
      <c r="H2441" s="1"/>
      <c r="I2441" s="155"/>
      <c r="K2441" s="155"/>
      <c r="M2441" s="1"/>
      <c r="N2441" s="295"/>
      <c r="P2441" s="295"/>
      <c r="Q2441" s="295"/>
      <c r="R2441" s="295"/>
      <c r="S2441" s="295"/>
      <c r="T2441" s="295"/>
      <c r="U2441" s="1"/>
      <c r="W2441" s="313"/>
      <c r="X2441" s="1"/>
    </row>
    <row r="2442" spans="1:24" x14ac:dyDescent="0.35">
      <c r="B2442" s="83" t="s">
        <v>2625</v>
      </c>
      <c r="C2442" s="295"/>
      <c r="D2442" s="155" t="s">
        <v>4564</v>
      </c>
      <c r="E2442" s="155"/>
      <c r="F2442" s="155"/>
      <c r="G2442" s="1"/>
      <c r="H2442" s="155"/>
      <c r="J2442" s="155"/>
      <c r="M2442" s="295"/>
      <c r="O2442" s="295"/>
      <c r="P2442" s="295"/>
      <c r="Q2442" s="295"/>
      <c r="R2442" s="295"/>
      <c r="S2442" s="295"/>
      <c r="T2442" s="1"/>
      <c r="V2442" s="313"/>
      <c r="W2442" s="1"/>
    </row>
    <row r="2443" spans="1:24" x14ac:dyDescent="0.35">
      <c r="C2443" s="295"/>
      <c r="D2443" s="155"/>
      <c r="E2443" s="155"/>
      <c r="F2443" s="155"/>
      <c r="G2443" s="1"/>
      <c r="H2443" s="155"/>
      <c r="J2443" s="155"/>
      <c r="M2443" s="295"/>
      <c r="O2443" s="295"/>
      <c r="P2443" s="295"/>
      <c r="Q2443" s="295"/>
      <c r="R2443" s="295"/>
      <c r="S2443" s="295"/>
      <c r="T2443" s="1"/>
      <c r="V2443" s="313"/>
      <c r="W2443" s="1"/>
    </row>
    <row r="2444" spans="1:24" ht="24.5" x14ac:dyDescent="0.35">
      <c r="B2444" s="83" t="s">
        <v>4385</v>
      </c>
      <c r="C2444" s="295"/>
      <c r="D2444" s="123" t="s">
        <v>2956</v>
      </c>
      <c r="E2444" s="155"/>
      <c r="F2444" s="123" t="s">
        <v>620</v>
      </c>
      <c r="G2444" s="123" t="s">
        <v>2959</v>
      </c>
      <c r="H2444" s="123" t="s">
        <v>2969</v>
      </c>
      <c r="I2444" s="123" t="s">
        <v>3011</v>
      </c>
      <c r="J2444" s="123" t="s">
        <v>3013</v>
      </c>
      <c r="K2444" s="123" t="s">
        <v>4619</v>
      </c>
      <c r="L2444" s="4"/>
      <c r="M2444" s="123" t="s">
        <v>2487</v>
      </c>
      <c r="N2444" s="123" t="s">
        <v>3014</v>
      </c>
      <c r="O2444" s="123" t="s">
        <v>4613</v>
      </c>
      <c r="P2444" s="123" t="s">
        <v>4616</v>
      </c>
      <c r="Q2444" s="123" t="s">
        <v>3038</v>
      </c>
      <c r="R2444" s="4"/>
      <c r="S2444" s="4"/>
      <c r="T2444" s="123" t="s">
        <v>2961</v>
      </c>
      <c r="U2444" s="4"/>
      <c r="V2444" s="295"/>
    </row>
    <row r="2445" spans="1:24" x14ac:dyDescent="0.35">
      <c r="C2445" s="295"/>
      <c r="D2445" s="155" t="s">
        <v>8293</v>
      </c>
      <c r="F2445" s="336">
        <v>1.7</v>
      </c>
      <c r="G2445" s="295" t="s">
        <v>3010</v>
      </c>
      <c r="H2445">
        <v>15</v>
      </c>
      <c r="I2445" s="73" t="s">
        <v>8294</v>
      </c>
      <c r="J2445">
        <v>1</v>
      </c>
      <c r="K2445" s="463" t="s">
        <v>4569</v>
      </c>
      <c r="N2445">
        <v>1500</v>
      </c>
      <c r="O2445" s="533" t="s">
        <v>4614</v>
      </c>
      <c r="P2445" s="533" t="s">
        <v>4617</v>
      </c>
      <c r="Q2445" s="295" t="s">
        <v>5515</v>
      </c>
      <c r="T2445" s="1" t="s">
        <v>4568</v>
      </c>
      <c r="U2445" s="295" t="s">
        <v>0</v>
      </c>
      <c r="V2445" s="295"/>
    </row>
    <row r="2446" spans="1:24" x14ac:dyDescent="0.35">
      <c r="C2446" s="498" t="s">
        <v>5528</v>
      </c>
      <c r="D2446" s="155" t="s">
        <v>8292</v>
      </c>
      <c r="F2446" s="336">
        <v>2.75</v>
      </c>
      <c r="G2446" s="295" t="s">
        <v>3919</v>
      </c>
      <c r="H2446" s="313" t="s">
        <v>3919</v>
      </c>
      <c r="I2446" s="313" t="s">
        <v>3919</v>
      </c>
      <c r="J2446" s="313" t="s">
        <v>3919</v>
      </c>
      <c r="K2446" s="295" t="s">
        <v>3919</v>
      </c>
      <c r="N2446">
        <v>3000</v>
      </c>
      <c r="O2446" s="469" t="s">
        <v>4612</v>
      </c>
      <c r="P2446">
        <v>0.2</v>
      </c>
      <c r="Q2446" s="295" t="s">
        <v>5513</v>
      </c>
      <c r="T2446" s="1" t="s">
        <v>5512</v>
      </c>
      <c r="U2446" t="s">
        <v>5517</v>
      </c>
      <c r="V2446" s="295"/>
    </row>
    <row r="2447" spans="1:24" x14ac:dyDescent="0.35">
      <c r="C2447" s="498" t="s">
        <v>3063</v>
      </c>
      <c r="D2447" s="155" t="s">
        <v>8291</v>
      </c>
      <c r="F2447" s="336">
        <v>2.52</v>
      </c>
      <c r="G2447" s="295" t="s">
        <v>3919</v>
      </c>
      <c r="H2447" s="313" t="s">
        <v>3919</v>
      </c>
      <c r="I2447" s="313" t="s">
        <v>3919</v>
      </c>
      <c r="J2447" s="313" t="s">
        <v>3919</v>
      </c>
      <c r="K2447" s="295" t="s">
        <v>3919</v>
      </c>
      <c r="N2447">
        <v>2000</v>
      </c>
      <c r="O2447" s="469" t="s">
        <v>4612</v>
      </c>
      <c r="P2447">
        <v>0.2</v>
      </c>
      <c r="Q2447" s="295" t="s">
        <v>5518</v>
      </c>
      <c r="T2447" s="1" t="s">
        <v>8290</v>
      </c>
      <c r="U2447" t="s">
        <v>5516</v>
      </c>
      <c r="V2447" s="295"/>
    </row>
    <row r="2448" spans="1:24" x14ac:dyDescent="0.35">
      <c r="C2448" s="351"/>
      <c r="D2448" s="155"/>
      <c r="E2448" s="155"/>
      <c r="F2448" s="8"/>
      <c r="G2448" s="295"/>
      <c r="H2448" s="295"/>
      <c r="I2448" s="313"/>
      <c r="J2448" s="313"/>
      <c r="K2448" s="295"/>
      <c r="M2448" s="295"/>
      <c r="O2448" s="469"/>
      <c r="Q2448" s="295"/>
      <c r="R2448" s="1"/>
      <c r="S2448" s="295"/>
      <c r="T2448" s="1"/>
      <c r="U2448" s="1"/>
      <c r="X2448" s="1"/>
    </row>
    <row r="2449" spans="1:24" x14ac:dyDescent="0.35">
      <c r="B2449" s="83" t="s">
        <v>4566</v>
      </c>
      <c r="C2449" s="295"/>
      <c r="D2449" s="307" t="s">
        <v>4545</v>
      </c>
      <c r="F2449" s="336"/>
      <c r="G2449" s="295"/>
      <c r="J2449" s="463"/>
      <c r="N2449" s="295"/>
      <c r="Q2449" s="1"/>
      <c r="R2449" s="295"/>
      <c r="S2449" s="295"/>
      <c r="T2449" s="1"/>
      <c r="V2449" s="313"/>
      <c r="W2449" s="1"/>
    </row>
    <row r="2450" spans="1:24" x14ac:dyDescent="0.35">
      <c r="C2450" s="295"/>
      <c r="D2450" s="155" t="s">
        <v>4570</v>
      </c>
      <c r="F2450" s="336"/>
      <c r="G2450" s="295"/>
      <c r="I2450" s="1" t="s">
        <v>4571</v>
      </c>
      <c r="J2450" s="463"/>
      <c r="K2450" t="s">
        <v>0</v>
      </c>
      <c r="N2450" s="295"/>
      <c r="Q2450" s="1"/>
      <c r="R2450" s="295"/>
      <c r="S2450" s="295"/>
      <c r="T2450" s="1"/>
      <c r="V2450" s="313"/>
      <c r="W2450" s="1"/>
    </row>
    <row r="2451" spans="1:24" x14ac:dyDescent="0.35">
      <c r="C2451" s="295"/>
      <c r="D2451" s="155"/>
      <c r="F2451" s="336"/>
      <c r="G2451" s="295"/>
      <c r="J2451" s="463"/>
      <c r="N2451" s="295"/>
      <c r="Q2451" s="1"/>
      <c r="R2451" s="295"/>
      <c r="S2451" s="295"/>
      <c r="T2451" s="1"/>
      <c r="V2451" s="313"/>
      <c r="W2451" s="1"/>
    </row>
    <row r="2452" spans="1:24" x14ac:dyDescent="0.35">
      <c r="B2452" s="83" t="s">
        <v>4572</v>
      </c>
      <c r="C2452" s="295"/>
      <c r="D2452" s="688" t="s">
        <v>4632</v>
      </c>
      <c r="F2452" s="336"/>
      <c r="G2452" s="295"/>
      <c r="J2452" s="463"/>
      <c r="N2452" s="295"/>
      <c r="Q2452" s="1"/>
      <c r="R2452" s="295"/>
      <c r="S2452" s="295"/>
      <c r="T2452" s="1"/>
      <c r="V2452" s="313"/>
      <c r="W2452" s="1"/>
    </row>
    <row r="2453" spans="1:24" x14ac:dyDescent="0.35">
      <c r="C2453" s="295"/>
      <c r="D2453" s="688" t="s">
        <v>4631</v>
      </c>
      <c r="E2453" s="155"/>
      <c r="F2453" s="155"/>
      <c r="G2453" s="1"/>
      <c r="H2453" s="155"/>
      <c r="J2453" s="155"/>
      <c r="M2453" s="295"/>
      <c r="O2453" s="295"/>
      <c r="P2453" s="295"/>
      <c r="Q2453" s="295"/>
      <c r="R2453" s="295"/>
      <c r="S2453" s="295"/>
      <c r="T2453" s="1"/>
      <c r="V2453" s="313"/>
      <c r="W2453" s="1"/>
    </row>
    <row r="2454" spans="1:24" x14ac:dyDescent="0.35">
      <c r="C2454" s="295"/>
      <c r="D2454" s="688"/>
      <c r="E2454" s="155"/>
      <c r="F2454" s="155"/>
      <c r="G2454" s="1"/>
      <c r="H2454" s="155"/>
      <c r="J2454" s="155"/>
      <c r="M2454" s="295"/>
      <c r="O2454" s="295"/>
      <c r="P2454" s="295"/>
      <c r="Q2454" s="295"/>
      <c r="R2454" s="295"/>
      <c r="S2454" s="295"/>
      <c r="T2454" s="1"/>
      <c r="V2454" s="313"/>
      <c r="W2454" s="1"/>
    </row>
    <row r="2455" spans="1:24" s="5" customFormat="1" x14ac:dyDescent="0.35">
      <c r="A2455" s="86" t="s">
        <v>7860</v>
      </c>
    </row>
    <row r="2456" spans="1:24" x14ac:dyDescent="0.35">
      <c r="G2456" s="336"/>
      <c r="I2456" s="1"/>
      <c r="J2456" s="313"/>
      <c r="N2456" s="1"/>
      <c r="O2456" s="313"/>
      <c r="Q2456" s="73"/>
      <c r="R2456" s="313"/>
      <c r="T2456" s="1"/>
    </row>
    <row r="2457" spans="1:24" x14ac:dyDescent="0.35">
      <c r="B2457" s="83" t="s">
        <v>2625</v>
      </c>
      <c r="C2457" s="295"/>
      <c r="D2457" s="155" t="s">
        <v>6867</v>
      </c>
      <c r="E2457" s="155"/>
      <c r="F2457" s="155"/>
      <c r="G2457" s="1"/>
      <c r="H2457" s="155"/>
      <c r="J2457" s="155"/>
      <c r="M2457" s="295"/>
      <c r="O2457" s="295"/>
      <c r="P2457" s="295"/>
      <c r="Q2457" s="295"/>
      <c r="R2457" s="295"/>
      <c r="S2457" s="295"/>
      <c r="T2457" s="1"/>
      <c r="V2457" s="313"/>
      <c r="W2457" s="1"/>
    </row>
    <row r="2458" spans="1:24" x14ac:dyDescent="0.35">
      <c r="C2458" s="295"/>
      <c r="D2458" s="155"/>
      <c r="E2458" s="155"/>
      <c r="F2458" s="155"/>
      <c r="G2458" s="1"/>
      <c r="H2458" s="155"/>
      <c r="J2458" s="155"/>
      <c r="M2458" s="295"/>
      <c r="O2458" s="295"/>
      <c r="P2458" s="295"/>
      <c r="Q2458" s="295"/>
      <c r="R2458" s="295"/>
      <c r="S2458" s="295"/>
      <c r="T2458" s="1"/>
      <c r="V2458" s="313"/>
      <c r="W2458" s="1"/>
    </row>
    <row r="2459" spans="1:24" x14ac:dyDescent="0.35">
      <c r="B2459" s="83" t="s">
        <v>5110</v>
      </c>
      <c r="C2459" s="295"/>
      <c r="D2459" t="s">
        <v>7795</v>
      </c>
      <c r="E2459" s="155"/>
      <c r="F2459" s="155"/>
      <c r="G2459" s="1"/>
      <c r="H2459" s="155"/>
      <c r="J2459" s="155"/>
      <c r="M2459" s="295"/>
      <c r="O2459" s="295"/>
      <c r="P2459" s="295"/>
      <c r="Q2459" s="295"/>
      <c r="R2459" s="295"/>
      <c r="S2459" s="295"/>
      <c r="T2459" s="1"/>
      <c r="V2459" s="313"/>
      <c r="W2459" s="1"/>
    </row>
    <row r="2460" spans="1:24" x14ac:dyDescent="0.35">
      <c r="D2460" s="295"/>
      <c r="E2460" s="155"/>
      <c r="G2460" s="155"/>
      <c r="H2460" s="1"/>
      <c r="I2460" s="155"/>
      <c r="K2460" s="155"/>
      <c r="M2460" s="1"/>
      <c r="N2460" s="295"/>
      <c r="P2460" s="295"/>
      <c r="Q2460" s="295"/>
      <c r="R2460" s="295"/>
      <c r="S2460" s="295"/>
      <c r="T2460" s="295"/>
      <c r="U2460" s="1"/>
      <c r="W2460" s="313"/>
      <c r="X2460" s="1"/>
    </row>
    <row r="2461" spans="1:24" x14ac:dyDescent="0.35">
      <c r="B2461" s="83" t="s">
        <v>1377</v>
      </c>
      <c r="D2461" t="s">
        <v>6478</v>
      </c>
      <c r="G2461" s="336"/>
      <c r="I2461" s="1"/>
      <c r="J2461" s="313"/>
      <c r="N2461" s="1" t="s">
        <v>6476</v>
      </c>
      <c r="O2461" s="313"/>
      <c r="P2461" t="s">
        <v>0</v>
      </c>
      <c r="Q2461" s="73"/>
      <c r="R2461" s="313"/>
      <c r="T2461" s="1"/>
    </row>
    <row r="2462" spans="1:24" x14ac:dyDescent="0.35">
      <c r="D2462" t="s">
        <v>6479</v>
      </c>
      <c r="G2462" s="336"/>
      <c r="I2462" s="1"/>
      <c r="J2462" s="313"/>
      <c r="N2462" s="1" t="s">
        <v>6477</v>
      </c>
      <c r="O2462" s="313"/>
      <c r="P2462" t="s">
        <v>0</v>
      </c>
      <c r="Q2462" s="73"/>
      <c r="R2462" s="313"/>
      <c r="T2462" s="1"/>
    </row>
    <row r="2463" spans="1:24" x14ac:dyDescent="0.35">
      <c r="G2463" s="336"/>
      <c r="I2463" s="1"/>
      <c r="J2463" s="313"/>
      <c r="N2463" s="1"/>
      <c r="O2463" s="313"/>
      <c r="Q2463" s="73"/>
      <c r="R2463" s="313"/>
      <c r="T2463" s="1"/>
    </row>
    <row r="2464" spans="1:24" x14ac:dyDescent="0.35">
      <c r="B2464" s="83" t="s">
        <v>5955</v>
      </c>
      <c r="F2464" s="388"/>
      <c r="G2464" s="336"/>
      <c r="J2464" s="313"/>
      <c r="N2464" s="73"/>
      <c r="O2464" s="313"/>
      <c r="P2464" s="73"/>
      <c r="Q2464" s="73"/>
      <c r="R2464" s="313"/>
      <c r="T2464" s="1"/>
    </row>
    <row r="2465" spans="2:20" x14ac:dyDescent="0.35">
      <c r="C2465" s="351" t="s">
        <v>3063</v>
      </c>
      <c r="D2465" t="str">
        <f>D2834</f>
        <v>MCP3461T-E/ST -- 16bit, delta sigma, $1.53, 60 to 150K s/sec, programmable gain (our 300W prototype goes direct to TSSOP-20, no eval pcb)</v>
      </c>
      <c r="G2465" s="336"/>
      <c r="J2465" s="313"/>
      <c r="N2465" s="1" t="s">
        <v>5709</v>
      </c>
      <c r="O2465" s="313"/>
      <c r="P2465" s="73" t="s">
        <v>0</v>
      </c>
      <c r="Q2465" s="73"/>
      <c r="R2465" s="313"/>
      <c r="T2465" s="1"/>
    </row>
    <row r="2466" spans="2:20" x14ac:dyDescent="0.35">
      <c r="D2466" t="s">
        <v>5712</v>
      </c>
      <c r="F2466" t="s">
        <v>5711</v>
      </c>
      <c r="G2466" s="336"/>
      <c r="J2466" s="313"/>
      <c r="N2466" s="1" t="s">
        <v>5710</v>
      </c>
      <c r="O2466" s="313"/>
      <c r="P2466" t="s">
        <v>0</v>
      </c>
      <c r="Q2466" s="128" t="s">
        <v>6469</v>
      </c>
      <c r="R2466" s="313"/>
      <c r="T2466" s="1"/>
    </row>
    <row r="2467" spans="2:20" x14ac:dyDescent="0.35">
      <c r="D2467" t="s">
        <v>5714</v>
      </c>
      <c r="F2467" t="s">
        <v>6480</v>
      </c>
      <c r="G2467" s="336"/>
      <c r="I2467" s="1"/>
      <c r="J2467" s="313"/>
      <c r="N2467" s="1" t="s">
        <v>5713</v>
      </c>
      <c r="O2467" s="313"/>
      <c r="P2467" t="s">
        <v>0</v>
      </c>
      <c r="Q2467" s="73"/>
      <c r="R2467" s="313"/>
      <c r="T2467" s="1"/>
    </row>
    <row r="2468" spans="2:20" x14ac:dyDescent="0.35">
      <c r="G2468" s="336"/>
      <c r="I2468" s="1"/>
      <c r="J2468" s="313"/>
      <c r="N2468" s="1"/>
      <c r="O2468" s="313"/>
      <c r="Q2468" s="73"/>
      <c r="R2468" s="313"/>
      <c r="T2468" s="1"/>
    </row>
    <row r="2469" spans="2:20" x14ac:dyDescent="0.35">
      <c r="B2469" s="83" t="s">
        <v>6874</v>
      </c>
      <c r="G2469" s="336"/>
      <c r="I2469" s="1"/>
      <c r="J2469" s="313"/>
      <c r="N2469" s="1"/>
      <c r="O2469" s="313"/>
      <c r="Q2469" s="73"/>
      <c r="R2469" s="313"/>
      <c r="T2469" s="1"/>
    </row>
    <row r="2470" spans="2:20" x14ac:dyDescent="0.35">
      <c r="G2470" s="336"/>
      <c r="K2470" s="548" t="s">
        <v>6803</v>
      </c>
      <c r="L2470" s="695"/>
      <c r="N2470" s="1"/>
      <c r="O2470" s="313"/>
      <c r="Q2470" s="73"/>
      <c r="R2470" s="313"/>
      <c r="T2470" s="1"/>
    </row>
    <row r="2471" spans="2:20" ht="24.5" x14ac:dyDescent="0.35">
      <c r="D2471" s="123" t="s">
        <v>6797</v>
      </c>
      <c r="E2471" s="123" t="s">
        <v>8200</v>
      </c>
      <c r="F2471" s="123" t="s">
        <v>6799</v>
      </c>
      <c r="G2471" s="123" t="s">
        <v>8201</v>
      </c>
      <c r="H2471" s="123" t="s">
        <v>6805</v>
      </c>
      <c r="I2471" s="123" t="s">
        <v>6813</v>
      </c>
      <c r="K2471" s="123" t="s">
        <v>6801</v>
      </c>
      <c r="L2471" s="123" t="s">
        <v>6802</v>
      </c>
      <c r="M2471" s="123" t="s">
        <v>5777</v>
      </c>
      <c r="N2471" s="1"/>
      <c r="O2471" s="313"/>
      <c r="Q2471" s="73"/>
      <c r="R2471" s="313"/>
      <c r="T2471" s="1"/>
    </row>
    <row r="2472" spans="2:20" x14ac:dyDescent="0.35">
      <c r="D2472" t="s">
        <v>6798</v>
      </c>
      <c r="E2472" s="13">
        <v>0.33</v>
      </c>
      <c r="F2472" s="73" t="s">
        <v>6800</v>
      </c>
      <c r="G2472" s="694">
        <v>100</v>
      </c>
      <c r="H2472">
        <v>20</v>
      </c>
      <c r="I2472">
        <v>3.5</v>
      </c>
      <c r="K2472" s="694">
        <v>20</v>
      </c>
      <c r="L2472" s="694">
        <v>225</v>
      </c>
      <c r="M2472" s="472" t="s">
        <v>6804</v>
      </c>
      <c r="N2472" t="s">
        <v>6808</v>
      </c>
      <c r="O2472" s="313"/>
      <c r="Q2472" s="73"/>
      <c r="R2472" s="313"/>
      <c r="T2472" s="1"/>
    </row>
    <row r="2473" spans="2:20" x14ac:dyDescent="0.35">
      <c r="C2473" s="351" t="s">
        <v>3063</v>
      </c>
      <c r="D2473" t="s">
        <v>3919</v>
      </c>
      <c r="E2473" s="13">
        <v>3</v>
      </c>
      <c r="F2473" s="73" t="s">
        <v>6806</v>
      </c>
      <c r="G2473" s="694">
        <v>100</v>
      </c>
      <c r="H2473" s="73" t="s">
        <v>3919</v>
      </c>
      <c r="I2473" s="73" t="s">
        <v>3919</v>
      </c>
      <c r="J2473" s="313"/>
      <c r="K2473">
        <v>23</v>
      </c>
      <c r="L2473">
        <v>186</v>
      </c>
      <c r="M2473" s="472" t="s">
        <v>3919</v>
      </c>
      <c r="N2473" t="s">
        <v>6807</v>
      </c>
      <c r="O2473" s="313"/>
      <c r="Q2473" s="73"/>
      <c r="R2473" s="313"/>
      <c r="T2473" s="1"/>
    </row>
    <row r="2474" spans="2:20" x14ac:dyDescent="0.35">
      <c r="C2474" s="351"/>
      <c r="D2474" t="s">
        <v>3919</v>
      </c>
      <c r="E2474" s="13">
        <v>3</v>
      </c>
      <c r="F2474" s="73" t="s">
        <v>6821</v>
      </c>
      <c r="G2474" s="694">
        <v>1000</v>
      </c>
      <c r="H2474" s="73" t="s">
        <v>3919</v>
      </c>
      <c r="I2474" s="73" t="s">
        <v>3919</v>
      </c>
      <c r="J2474" s="313"/>
      <c r="K2474">
        <v>23</v>
      </c>
      <c r="L2474">
        <v>187</v>
      </c>
      <c r="M2474" s="472" t="s">
        <v>3919</v>
      </c>
      <c r="N2474" t="s">
        <v>6822</v>
      </c>
      <c r="O2474" s="313"/>
      <c r="Q2474" s="73"/>
      <c r="R2474" s="313"/>
      <c r="T2474" s="1"/>
    </row>
    <row r="2475" spans="2:20" x14ac:dyDescent="0.35">
      <c r="D2475" t="s">
        <v>3919</v>
      </c>
      <c r="E2475" s="13">
        <v>3</v>
      </c>
      <c r="F2475" s="73" t="s">
        <v>6812</v>
      </c>
      <c r="G2475" s="694">
        <v>500</v>
      </c>
      <c r="H2475" s="73" t="s">
        <v>3919</v>
      </c>
      <c r="I2475" s="73" t="s">
        <v>3919</v>
      </c>
      <c r="J2475" s="313"/>
      <c r="K2475">
        <v>47</v>
      </c>
      <c r="L2475">
        <v>187</v>
      </c>
      <c r="M2475" s="472" t="s">
        <v>3919</v>
      </c>
      <c r="O2475" s="313"/>
      <c r="Q2475" s="73"/>
      <c r="R2475" s="313"/>
      <c r="T2475" s="1"/>
    </row>
    <row r="2476" spans="2:20" x14ac:dyDescent="0.35">
      <c r="D2476" t="s">
        <v>3919</v>
      </c>
      <c r="E2476" s="13">
        <v>5</v>
      </c>
      <c r="F2476" s="73" t="s">
        <v>6812</v>
      </c>
      <c r="G2476" s="694">
        <v>500</v>
      </c>
      <c r="H2476" s="73" t="s">
        <v>3919</v>
      </c>
      <c r="I2476" s="73" t="s">
        <v>3919</v>
      </c>
      <c r="J2476" s="313"/>
      <c r="K2476">
        <v>19</v>
      </c>
      <c r="L2476">
        <v>297</v>
      </c>
      <c r="M2476" s="472" t="s">
        <v>3919</v>
      </c>
      <c r="O2476" s="313"/>
      <c r="Q2476" s="73"/>
      <c r="R2476" s="313"/>
      <c r="T2476" s="1"/>
    </row>
    <row r="2477" spans="2:20" x14ac:dyDescent="0.35">
      <c r="C2477" s="351"/>
      <c r="D2477" t="s">
        <v>3919</v>
      </c>
      <c r="E2477" s="13">
        <v>3</v>
      </c>
      <c r="F2477" s="73" t="s">
        <v>6806</v>
      </c>
      <c r="G2477" s="694">
        <v>500</v>
      </c>
      <c r="H2477" s="73" t="s">
        <v>3919</v>
      </c>
      <c r="I2477" s="73" t="s">
        <v>3919</v>
      </c>
      <c r="J2477" s="313"/>
      <c r="K2477">
        <v>17</v>
      </c>
      <c r="L2477">
        <v>310</v>
      </c>
      <c r="M2477" s="472" t="s">
        <v>3919</v>
      </c>
      <c r="N2477" t="s">
        <v>6829</v>
      </c>
      <c r="O2477" s="313"/>
      <c r="Q2477" s="73"/>
      <c r="R2477" s="313"/>
      <c r="T2477" s="1"/>
    </row>
    <row r="2478" spans="2:20" x14ac:dyDescent="0.35">
      <c r="D2478" t="s">
        <v>3919</v>
      </c>
      <c r="E2478" s="13">
        <v>0.3</v>
      </c>
      <c r="F2478" s="73" t="s">
        <v>6818</v>
      </c>
      <c r="G2478" s="697">
        <v>10000</v>
      </c>
      <c r="H2478" s="73" t="s">
        <v>3919</v>
      </c>
      <c r="I2478" s="73" t="s">
        <v>3919</v>
      </c>
      <c r="J2478" s="313"/>
      <c r="K2478">
        <v>43</v>
      </c>
      <c r="L2478">
        <v>238</v>
      </c>
      <c r="M2478" s="472" t="s">
        <v>3919</v>
      </c>
      <c r="N2478" t="s">
        <v>6819</v>
      </c>
      <c r="O2478" s="313"/>
      <c r="Q2478" s="73"/>
      <c r="R2478" s="316" t="s">
        <v>6820</v>
      </c>
      <c r="T2478" s="1"/>
    </row>
    <row r="2479" spans="2:20" x14ac:dyDescent="0.35">
      <c r="E2479" s="13"/>
      <c r="F2479" s="73"/>
      <c r="G2479" s="694"/>
      <c r="H2479" s="73"/>
      <c r="I2479" s="73"/>
      <c r="J2479" s="313"/>
      <c r="O2479" s="313"/>
      <c r="Q2479" s="73"/>
      <c r="R2479" s="313"/>
      <c r="T2479" s="1"/>
    </row>
    <row r="2480" spans="2:20" x14ac:dyDescent="0.35">
      <c r="C2480" s="351" t="s">
        <v>3063</v>
      </c>
      <c r="D2480" t="s">
        <v>6817</v>
      </c>
      <c r="E2480" s="13">
        <v>0.3</v>
      </c>
      <c r="F2480" s="73" t="s">
        <v>6818</v>
      </c>
      <c r="G2480" s="697">
        <v>10000</v>
      </c>
      <c r="H2480" s="73" t="s">
        <v>3919</v>
      </c>
      <c r="I2480" s="73" t="s">
        <v>3919</v>
      </c>
      <c r="J2480" s="313"/>
      <c r="K2480">
        <v>29</v>
      </c>
      <c r="L2480">
        <v>435</v>
      </c>
      <c r="M2480" s="472" t="s">
        <v>3919</v>
      </c>
      <c r="N2480" t="s">
        <v>6823</v>
      </c>
      <c r="O2480" s="313"/>
      <c r="Q2480" s="73"/>
      <c r="R2480" s="313"/>
      <c r="S2480" t="s">
        <v>6824</v>
      </c>
      <c r="T2480" s="1"/>
    </row>
    <row r="2481" spans="1:24" x14ac:dyDescent="0.35">
      <c r="C2481" s="351"/>
      <c r="E2481" s="13">
        <v>3</v>
      </c>
      <c r="F2481" s="73" t="s">
        <v>6825</v>
      </c>
      <c r="G2481" s="697">
        <v>3300</v>
      </c>
      <c r="H2481" s="73" t="s">
        <v>3919</v>
      </c>
      <c r="I2481" s="73" t="s">
        <v>3919</v>
      </c>
      <c r="J2481" s="313"/>
      <c r="K2481">
        <v>17</v>
      </c>
      <c r="L2481">
        <v>590</v>
      </c>
      <c r="M2481" s="472" t="s">
        <v>3919</v>
      </c>
      <c r="N2481" t="s">
        <v>6826</v>
      </c>
      <c r="O2481" s="313"/>
      <c r="Q2481" s="73"/>
      <c r="R2481" s="313"/>
      <c r="S2481" t="s">
        <v>6827</v>
      </c>
      <c r="T2481" s="1"/>
    </row>
    <row r="2482" spans="1:24" x14ac:dyDescent="0.35">
      <c r="C2482" s="351"/>
      <c r="E2482" s="13">
        <v>3</v>
      </c>
      <c r="F2482" s="73" t="s">
        <v>6828</v>
      </c>
      <c r="G2482" s="697">
        <v>1500</v>
      </c>
      <c r="H2482" s="73"/>
      <c r="I2482" s="73"/>
      <c r="J2482" s="313"/>
      <c r="L2482">
        <v>541</v>
      </c>
      <c r="M2482" s="472" t="s">
        <v>3919</v>
      </c>
      <c r="O2482" s="313"/>
      <c r="Q2482" s="73"/>
      <c r="R2482" s="313"/>
      <c r="T2482" s="1"/>
    </row>
    <row r="2483" spans="1:24" x14ac:dyDescent="0.35">
      <c r="F2483" s="73"/>
      <c r="G2483" s="694"/>
      <c r="H2483" s="73"/>
      <c r="I2483" s="73"/>
      <c r="J2483" s="313"/>
      <c r="O2483" s="313"/>
      <c r="Q2483" s="73"/>
      <c r="R2483" s="313"/>
      <c r="T2483" s="1"/>
    </row>
    <row r="2484" spans="1:24" x14ac:dyDescent="0.35">
      <c r="D2484" s="155" t="s">
        <v>6809</v>
      </c>
      <c r="E2484" s="155"/>
      <c r="F2484" s="155"/>
      <c r="G2484" s="1"/>
      <c r="H2484" s="155"/>
      <c r="J2484" s="155"/>
      <c r="M2484" s="295"/>
      <c r="O2484" s="295"/>
      <c r="P2484" s="295"/>
      <c r="Q2484" s="295"/>
      <c r="R2484" s="295"/>
      <c r="T2484" s="295"/>
      <c r="U2484" s="1"/>
      <c r="W2484" s="313"/>
      <c r="X2484" s="1"/>
    </row>
    <row r="2485" spans="1:24" x14ac:dyDescent="0.35">
      <c r="D2485" s="155" t="s">
        <v>6810</v>
      </c>
      <c r="E2485">
        <v>3</v>
      </c>
      <c r="F2485" s="73" t="s">
        <v>6806</v>
      </c>
      <c r="G2485" s="694">
        <v>100</v>
      </c>
      <c r="H2485" s="155"/>
      <c r="J2485" s="155"/>
      <c r="K2485">
        <v>25</v>
      </c>
      <c r="L2485" s="162">
        <v>2400</v>
      </c>
      <c r="M2485" s="472" t="s">
        <v>3919</v>
      </c>
      <c r="N2485" t="s">
        <v>6811</v>
      </c>
      <c r="O2485" s="295"/>
      <c r="P2485" s="295"/>
      <c r="Q2485" s="295"/>
      <c r="R2485" s="295"/>
      <c r="T2485" s="295"/>
      <c r="U2485" s="1"/>
      <c r="W2485" s="313"/>
      <c r="X2485" s="1"/>
    </row>
    <row r="2486" spans="1:24" x14ac:dyDescent="0.35">
      <c r="D2486" s="155"/>
      <c r="F2486" s="73"/>
      <c r="G2486" s="694"/>
      <c r="H2486" s="155"/>
      <c r="J2486" s="155"/>
      <c r="L2486" s="162"/>
      <c r="M2486" s="295"/>
      <c r="O2486" s="295"/>
      <c r="P2486" s="295"/>
      <c r="Q2486" s="295"/>
      <c r="R2486" s="295"/>
      <c r="T2486" s="295"/>
      <c r="U2486" s="1"/>
      <c r="W2486" s="313"/>
      <c r="X2486" s="1"/>
    </row>
    <row r="2487" spans="1:24" s="5" customFormat="1" x14ac:dyDescent="0.35">
      <c r="A2487" s="86" t="s">
        <v>6868</v>
      </c>
    </row>
    <row r="2488" spans="1:24" x14ac:dyDescent="0.35">
      <c r="D2488" s="155"/>
      <c r="F2488" s="73"/>
      <c r="G2488" s="694"/>
      <c r="H2488" s="155"/>
      <c r="J2488" s="155"/>
      <c r="L2488" s="162"/>
      <c r="M2488" s="295"/>
      <c r="O2488" s="295"/>
      <c r="P2488" s="295"/>
      <c r="Q2488" s="295"/>
      <c r="R2488" s="295"/>
      <c r="T2488" s="295"/>
      <c r="U2488" s="1"/>
      <c r="W2488" s="313"/>
      <c r="X2488" s="1"/>
    </row>
    <row r="2489" spans="1:24" x14ac:dyDescent="0.35">
      <c r="B2489" s="83" t="s">
        <v>2625</v>
      </c>
      <c r="C2489" s="295"/>
      <c r="D2489" s="155" t="s">
        <v>6875</v>
      </c>
      <c r="E2489" s="155"/>
      <c r="F2489" s="155"/>
      <c r="G2489" s="1"/>
      <c r="H2489" s="155"/>
      <c r="J2489" s="155"/>
      <c r="M2489" s="295"/>
      <c r="O2489" s="295"/>
      <c r="P2489" s="295"/>
      <c r="Q2489" s="295"/>
      <c r="R2489" s="295"/>
      <c r="S2489" s="295"/>
      <c r="T2489" s="1"/>
      <c r="V2489" s="313"/>
      <c r="W2489" s="1"/>
    </row>
    <row r="2490" spans="1:24" x14ac:dyDescent="0.35">
      <c r="C2490" s="295"/>
      <c r="D2490" s="155"/>
      <c r="E2490" s="155"/>
      <c r="F2490" s="155"/>
      <c r="G2490" s="1"/>
      <c r="H2490" s="155"/>
      <c r="J2490" s="155"/>
      <c r="M2490" s="295"/>
      <c r="O2490" s="295"/>
      <c r="P2490" s="295"/>
      <c r="Q2490" s="295"/>
      <c r="R2490" s="295"/>
      <c r="S2490" s="295"/>
      <c r="T2490" s="1"/>
      <c r="V2490" s="313"/>
      <c r="W2490" s="1"/>
    </row>
    <row r="2491" spans="1:24" x14ac:dyDescent="0.35">
      <c r="B2491" s="83" t="s">
        <v>5110</v>
      </c>
      <c r="C2491" s="295"/>
      <c r="D2491" t="s">
        <v>7797</v>
      </c>
      <c r="E2491" s="155"/>
      <c r="F2491" s="155"/>
      <c r="G2491" s="1"/>
      <c r="H2491" s="155"/>
      <c r="J2491" s="155"/>
      <c r="M2491" s="295"/>
      <c r="O2491" s="295"/>
      <c r="P2491" s="295"/>
      <c r="Q2491" s="295"/>
      <c r="R2491" s="295"/>
      <c r="S2491" s="295"/>
      <c r="T2491" s="1"/>
      <c r="V2491" s="313"/>
      <c r="W2491" s="1"/>
    </row>
    <row r="2492" spans="1:24" x14ac:dyDescent="0.35">
      <c r="D2492" s="155"/>
      <c r="F2492" s="73"/>
      <c r="G2492" s="694"/>
      <c r="H2492" s="155"/>
      <c r="J2492" s="155"/>
      <c r="L2492" s="162"/>
      <c r="M2492" s="295"/>
      <c r="O2492" s="295"/>
      <c r="P2492" s="295"/>
      <c r="Q2492" s="295"/>
      <c r="R2492" s="295"/>
      <c r="T2492" s="295"/>
      <c r="U2492" s="1"/>
      <c r="W2492" s="313"/>
      <c r="X2492" s="1"/>
    </row>
    <row r="2493" spans="1:24" x14ac:dyDescent="0.35">
      <c r="B2493" s="83" t="s">
        <v>6890</v>
      </c>
      <c r="D2493" s="149" t="s">
        <v>6891</v>
      </c>
      <c r="F2493" s="73"/>
      <c r="G2493" s="694"/>
      <c r="H2493" s="155"/>
      <c r="J2493" s="155"/>
      <c r="L2493" s="162"/>
      <c r="M2493" s="295"/>
      <c r="O2493" s="295"/>
      <c r="P2493" s="295"/>
      <c r="Q2493" s="295"/>
      <c r="R2493" s="295"/>
      <c r="T2493" s="295"/>
      <c r="U2493" s="1"/>
      <c r="W2493" s="313"/>
      <c r="X2493" s="1"/>
    </row>
    <row r="2494" spans="1:24" x14ac:dyDescent="0.35">
      <c r="D2494" s="155"/>
      <c r="F2494" s="73"/>
      <c r="G2494" s="694"/>
      <c r="H2494" s="155"/>
      <c r="J2494" s="155"/>
      <c r="L2494" s="162"/>
      <c r="M2494" s="295"/>
      <c r="O2494" s="295"/>
      <c r="P2494" s="295"/>
      <c r="Q2494" s="295"/>
      <c r="R2494" s="295"/>
      <c r="T2494" s="295"/>
      <c r="U2494" s="1"/>
      <c r="W2494" s="313"/>
      <c r="X2494" s="1"/>
    </row>
    <row r="2495" spans="1:24" x14ac:dyDescent="0.35">
      <c r="B2495" s="83" t="s">
        <v>1841</v>
      </c>
      <c r="D2495" s="155" t="s">
        <v>6883</v>
      </c>
      <c r="F2495" s="73"/>
      <c r="G2495" s="694"/>
      <c r="H2495" s="155"/>
      <c r="J2495" s="155"/>
      <c r="L2495" s="162"/>
      <c r="M2495" s="295"/>
      <c r="O2495" s="295"/>
      <c r="P2495" s="295"/>
      <c r="Q2495" s="295"/>
      <c r="R2495" s="295"/>
      <c r="T2495" s="295"/>
      <c r="U2495" s="1"/>
      <c r="W2495" s="313"/>
      <c r="X2495" s="1"/>
    </row>
    <row r="2496" spans="1:24" x14ac:dyDescent="0.35">
      <c r="D2496" s="155" t="s">
        <v>6884</v>
      </c>
      <c r="F2496" s="73"/>
      <c r="G2496" s="694"/>
      <c r="H2496" s="155"/>
      <c r="J2496" s="155"/>
      <c r="L2496" s="162"/>
      <c r="M2496" s="295"/>
      <c r="O2496" s="295"/>
      <c r="P2496" s="295"/>
      <c r="Q2496" s="295"/>
      <c r="R2496" s="295"/>
      <c r="T2496" s="295"/>
      <c r="U2496" s="1"/>
      <c r="W2496" s="313"/>
      <c r="X2496" s="1"/>
    </row>
    <row r="2497" spans="1:26" x14ac:dyDescent="0.35">
      <c r="C2497" s="295"/>
      <c r="D2497" s="155" t="s">
        <v>6885</v>
      </c>
      <c r="E2497" s="155"/>
      <c r="F2497" s="155"/>
      <c r="G2497" s="1"/>
      <c r="H2497" s="155"/>
      <c r="J2497" s="155"/>
      <c r="M2497" s="295"/>
      <c r="O2497" s="295"/>
      <c r="P2497" s="295"/>
      <c r="Q2497" s="295"/>
      <c r="R2497" s="295"/>
      <c r="S2497" s="295"/>
      <c r="T2497" s="1"/>
      <c r="V2497" s="313"/>
      <c r="W2497" s="1"/>
    </row>
    <row r="2498" spans="1:26" x14ac:dyDescent="0.35">
      <c r="C2498" s="295"/>
      <c r="D2498" s="155"/>
      <c r="E2498" s="155" t="s">
        <v>6877</v>
      </c>
      <c r="F2498" s="155"/>
      <c r="G2498" s="1"/>
      <c r="H2498" s="155"/>
      <c r="J2498" s="155"/>
      <c r="M2498" s="295"/>
      <c r="O2498" s="295"/>
      <c r="P2498" s="295"/>
      <c r="Q2498" s="295"/>
      <c r="R2498" s="295"/>
      <c r="S2498" s="295"/>
      <c r="T2498" s="1"/>
      <c r="V2498" s="313"/>
      <c r="W2498" s="1"/>
    </row>
    <row r="2499" spans="1:26" x14ac:dyDescent="0.35">
      <c r="C2499" s="295"/>
      <c r="D2499" s="155" t="s">
        <v>6886</v>
      </c>
      <c r="E2499" s="155"/>
      <c r="F2499" s="155"/>
      <c r="G2499" s="1"/>
      <c r="H2499" s="155"/>
      <c r="J2499" s="155"/>
      <c r="M2499" s="295"/>
      <c r="O2499" s="295"/>
      <c r="P2499" s="295"/>
      <c r="Q2499" s="295"/>
      <c r="R2499" s="295"/>
      <c r="S2499" s="295"/>
      <c r="T2499" s="1"/>
      <c r="V2499" s="313"/>
      <c r="W2499" s="1"/>
    </row>
    <row r="2500" spans="1:26" x14ac:dyDescent="0.35">
      <c r="C2500" s="295"/>
      <c r="D2500" s="155" t="s">
        <v>6887</v>
      </c>
      <c r="E2500" s="155"/>
      <c r="F2500" s="155"/>
      <c r="G2500" s="1"/>
      <c r="H2500" s="155"/>
      <c r="J2500" s="155"/>
      <c r="M2500" s="295"/>
      <c r="O2500" s="295"/>
      <c r="P2500" s="295"/>
      <c r="Q2500" s="295"/>
      <c r="R2500" s="295"/>
      <c r="S2500" s="295"/>
      <c r="T2500" s="1"/>
      <c r="V2500" s="313"/>
      <c r="W2500" s="1"/>
    </row>
    <row r="2501" spans="1:26" x14ac:dyDescent="0.35">
      <c r="C2501" s="295"/>
      <c r="D2501" s="155" t="s">
        <v>6888</v>
      </c>
      <c r="E2501" s="155"/>
      <c r="F2501" s="155"/>
      <c r="G2501" s="1"/>
      <c r="H2501" s="155"/>
      <c r="J2501" s="155"/>
      <c r="M2501" s="295"/>
      <c r="O2501" s="295"/>
      <c r="P2501" s="295"/>
      <c r="Q2501" s="295"/>
      <c r="R2501" s="295"/>
      <c r="S2501" s="295"/>
      <c r="T2501" s="1"/>
      <c r="V2501" s="313"/>
      <c r="W2501" s="1"/>
    </row>
    <row r="2502" spans="1:26" x14ac:dyDescent="0.35">
      <c r="C2502" s="295"/>
      <c r="D2502" s="688"/>
      <c r="E2502" s="155" t="s">
        <v>6876</v>
      </c>
      <c r="F2502" s="155"/>
      <c r="G2502" s="1"/>
      <c r="H2502" s="155"/>
      <c r="J2502" s="155"/>
      <c r="M2502" s="295"/>
      <c r="O2502" s="295"/>
      <c r="P2502" s="295"/>
      <c r="Q2502" s="295"/>
      <c r="R2502" s="295"/>
      <c r="S2502" s="295"/>
      <c r="T2502" s="1"/>
      <c r="V2502" s="313"/>
      <c r="W2502" s="1"/>
    </row>
    <row r="2503" spans="1:26" x14ac:dyDescent="0.35">
      <c r="C2503" s="295"/>
      <c r="D2503" s="155" t="s">
        <v>6889</v>
      </c>
      <c r="E2503" s="155"/>
      <c r="F2503" s="155"/>
      <c r="G2503" s="1"/>
      <c r="H2503" s="155"/>
      <c r="J2503" s="155"/>
      <c r="M2503" s="295"/>
      <c r="O2503" s="295"/>
      <c r="P2503" s="295"/>
      <c r="Q2503" s="295"/>
      <c r="R2503" s="295"/>
      <c r="S2503" s="295"/>
      <c r="T2503" s="1"/>
      <c r="V2503" s="313"/>
      <c r="W2503" s="1"/>
    </row>
    <row r="2504" spans="1:26" x14ac:dyDescent="0.35">
      <c r="C2504" s="295"/>
      <c r="D2504" s="688"/>
      <c r="E2504" s="155" t="s">
        <v>6878</v>
      </c>
      <c r="F2504" s="155"/>
      <c r="G2504" s="1"/>
      <c r="H2504" s="155"/>
      <c r="J2504" s="155"/>
      <c r="M2504" s="295"/>
      <c r="O2504" s="295"/>
      <c r="P2504" s="295"/>
      <c r="Q2504" s="295"/>
      <c r="R2504" s="295"/>
      <c r="S2504" s="295"/>
      <c r="T2504" s="1"/>
      <c r="V2504" s="313"/>
      <c r="W2504" s="1"/>
    </row>
    <row r="2505" spans="1:26" x14ac:dyDescent="0.35">
      <c r="C2505" s="295"/>
      <c r="D2505" s="688"/>
      <c r="E2505" s="155"/>
      <c r="F2505" s="155"/>
      <c r="G2505" s="1"/>
      <c r="H2505" s="155"/>
      <c r="J2505" s="155"/>
      <c r="M2505" s="295"/>
      <c r="O2505" s="295"/>
      <c r="P2505" s="295"/>
      <c r="Q2505" s="295"/>
      <c r="R2505" s="295"/>
      <c r="S2505" s="295"/>
      <c r="T2505" s="1"/>
      <c r="V2505" s="313"/>
      <c r="W2505" s="1"/>
    </row>
    <row r="2506" spans="1:26" s="5" customFormat="1" x14ac:dyDescent="0.35">
      <c r="A2506" s="86" t="s">
        <v>8839</v>
      </c>
      <c r="B2506" s="84"/>
      <c r="C2506" s="917"/>
      <c r="D2506" s="918"/>
      <c r="E2506" s="919"/>
      <c r="F2506" s="919"/>
      <c r="G2506" s="920"/>
      <c r="H2506" s="919"/>
      <c r="J2506" s="919"/>
      <c r="M2506" s="917"/>
      <c r="O2506" s="917"/>
      <c r="P2506" s="917"/>
      <c r="Q2506" s="917"/>
      <c r="R2506" s="917"/>
      <c r="S2506" s="917"/>
      <c r="T2506" s="920"/>
      <c r="V2506" s="921"/>
      <c r="W2506" s="920"/>
    </row>
    <row r="2507" spans="1:26" s="2" customFormat="1" x14ac:dyDescent="0.35">
      <c r="A2507" s="93"/>
      <c r="B2507" s="85"/>
      <c r="C2507" s="922"/>
      <c r="D2507" s="923"/>
      <c r="E2507" s="618"/>
      <c r="F2507" s="618"/>
      <c r="G2507" s="21"/>
      <c r="H2507" s="618"/>
      <c r="J2507" s="618"/>
      <c r="M2507" s="922"/>
      <c r="O2507" s="922"/>
      <c r="P2507" s="922"/>
      <c r="Q2507" s="922"/>
      <c r="R2507" s="922"/>
      <c r="S2507" s="922"/>
      <c r="T2507" s="21"/>
      <c r="V2507" s="247"/>
      <c r="W2507" s="21"/>
    </row>
    <row r="2508" spans="1:26" s="2" customFormat="1" x14ac:dyDescent="0.35">
      <c r="A2508" s="93"/>
      <c r="B2508" s="83" t="s">
        <v>2625</v>
      </c>
      <c r="C2508" s="295"/>
      <c r="D2508" s="155" t="s">
        <v>8840</v>
      </c>
      <c r="E2508" s="618"/>
      <c r="F2508" s="618"/>
      <c r="G2508" s="21"/>
      <c r="H2508" s="618"/>
      <c r="J2508" s="618"/>
      <c r="M2508" s="922"/>
      <c r="O2508" s="922"/>
      <c r="P2508" s="922"/>
      <c r="Q2508" s="922"/>
      <c r="R2508" s="922"/>
      <c r="S2508" s="922"/>
      <c r="T2508" s="21"/>
      <c r="V2508" s="247"/>
      <c r="W2508" s="21"/>
    </row>
    <row r="2509" spans="1:26" s="2" customFormat="1" x14ac:dyDescent="0.35">
      <c r="A2509" s="93"/>
      <c r="B2509" s="85"/>
      <c r="C2509" s="922"/>
      <c r="D2509" s="923"/>
      <c r="E2509" s="618"/>
      <c r="F2509" s="618"/>
      <c r="G2509" s="21"/>
      <c r="H2509" s="618"/>
      <c r="J2509" s="618"/>
      <c r="M2509" s="922"/>
      <c r="O2509" s="922"/>
      <c r="P2509" s="922"/>
      <c r="Q2509" s="922"/>
      <c r="R2509" s="922"/>
      <c r="S2509" s="922"/>
      <c r="T2509" s="21"/>
      <c r="V2509" s="247"/>
      <c r="W2509" s="21"/>
    </row>
    <row r="2510" spans="1:26" s="2" customFormat="1" x14ac:dyDescent="0.35">
      <c r="A2510" s="93"/>
      <c r="B2510" s="83" t="s">
        <v>5110</v>
      </c>
      <c r="C2510" s="922"/>
      <c r="D2510" t="s">
        <v>8841</v>
      </c>
      <c r="E2510" s="618"/>
      <c r="F2510" s="618"/>
      <c r="G2510" s="21"/>
      <c r="H2510" s="618"/>
      <c r="J2510" s="618"/>
      <c r="M2510" s="922"/>
      <c r="O2510" s="922"/>
      <c r="P2510" s="922"/>
      <c r="Q2510" s="922"/>
      <c r="R2510" s="922"/>
      <c r="S2510" s="922"/>
      <c r="T2510" s="21"/>
      <c r="V2510" s="247"/>
      <c r="W2510" s="21"/>
    </row>
    <row r="2511" spans="1:26" s="2" customFormat="1" x14ac:dyDescent="0.35">
      <c r="A2511" s="93"/>
      <c r="B2511" s="85"/>
      <c r="C2511" s="922"/>
      <c r="D2511" s="923"/>
      <c r="E2511" s="618"/>
      <c r="F2511" s="618"/>
      <c r="G2511" s="21"/>
      <c r="H2511" s="618"/>
      <c r="J2511" s="618"/>
      <c r="M2511" s="922"/>
      <c r="O2511" s="922"/>
      <c r="P2511" s="922"/>
      <c r="Q2511" s="922"/>
      <c r="R2511" s="922"/>
      <c r="S2511" s="922"/>
      <c r="T2511" s="21"/>
      <c r="V2511" s="247"/>
      <c r="W2511" s="21"/>
    </row>
    <row r="2512" spans="1:26" s="2" customFormat="1" x14ac:dyDescent="0.35">
      <c r="A2512" s="93"/>
      <c r="B2512" s="83" t="s">
        <v>8865</v>
      </c>
      <c r="D2512" s="931" t="s">
        <v>8849</v>
      </c>
      <c r="E2512" s="922"/>
      <c r="F2512" s="2" t="s">
        <v>8842</v>
      </c>
      <c r="G2512" s="618"/>
      <c r="H2512" s="618"/>
      <c r="I2512" s="21"/>
      <c r="J2512" s="925" t="s">
        <v>2969</v>
      </c>
      <c r="K2512" s="102" t="s">
        <v>7325</v>
      </c>
      <c r="L2512" s="925" t="s">
        <v>8850</v>
      </c>
      <c r="M2512" s="925" t="s">
        <v>8851</v>
      </c>
      <c r="N2512" s="925" t="s">
        <v>8852</v>
      </c>
      <c r="O2512" s="922"/>
      <c r="P2512" s="925" t="s">
        <v>8866</v>
      </c>
      <c r="T2512" s="2" t="s">
        <v>8842</v>
      </c>
      <c r="U2512" s="922"/>
      <c r="V2512" s="922"/>
      <c r="X2512" s="2" t="s">
        <v>8845</v>
      </c>
      <c r="Z2512" s="247"/>
    </row>
    <row r="2513" spans="1:27" s="2" customFormat="1" x14ac:dyDescent="0.35">
      <c r="A2513" s="93"/>
      <c r="D2513" s="932"/>
      <c r="E2513" s="922"/>
      <c r="F2513" s="2" t="s">
        <v>8853</v>
      </c>
      <c r="G2513" s="618"/>
      <c r="H2513" s="618"/>
      <c r="I2513" s="21"/>
      <c r="J2513" s="618">
        <v>4.3150000000000004</v>
      </c>
      <c r="K2513" s="241">
        <v>16200</v>
      </c>
      <c r="L2513" s="924">
        <f>K2513/(J2513/1.25-1)</f>
        <v>6606.8515497553008</v>
      </c>
      <c r="M2513" s="2">
        <v>6600</v>
      </c>
      <c r="N2513" s="926">
        <f>L2513/M2513-1</f>
        <v>1.0381135992880708E-3</v>
      </c>
      <c r="O2513" s="922"/>
      <c r="P2513" s="933">
        <f>J2513*M2513/(SUM(K2513:L2513))</f>
        <v>1.2487037037037039</v>
      </c>
      <c r="T2513" s="2" t="s">
        <v>8843</v>
      </c>
      <c r="U2513" s="922"/>
      <c r="V2513" s="922"/>
      <c r="X2513" s="2" t="s">
        <v>8846</v>
      </c>
      <c r="Z2513" s="247"/>
    </row>
    <row r="2514" spans="1:27" s="2" customFormat="1" x14ac:dyDescent="0.35">
      <c r="A2514" s="93"/>
      <c r="D2514" s="932"/>
      <c r="F2514" s="2" t="s">
        <v>8854</v>
      </c>
      <c r="G2514" s="618"/>
      <c r="H2514" s="618"/>
      <c r="I2514" s="21"/>
      <c r="J2514" s="618">
        <v>4.3150000000000004</v>
      </c>
      <c r="K2514" s="928">
        <v>16900</v>
      </c>
      <c r="L2514" s="924">
        <f>K2514/(J2514/1.25-1)</f>
        <v>6892.3327895595421</v>
      </c>
      <c r="M2514" s="927">
        <v>6900</v>
      </c>
      <c r="N2514" s="926">
        <f>L2514/M2514-1</f>
        <v>-1.1111899189069074E-3</v>
      </c>
      <c r="O2514" s="922"/>
      <c r="P2514" s="933">
        <f>J2514*M2514/(SUM(K2514:L2514))</f>
        <v>1.2513905325443788</v>
      </c>
      <c r="T2514" s="2" t="s">
        <v>8844</v>
      </c>
      <c r="U2514" s="922"/>
      <c r="V2514" s="922"/>
      <c r="X2514" s="21"/>
      <c r="Z2514" s="247"/>
      <c r="AA2514" s="21"/>
    </row>
    <row r="2515" spans="1:27" s="2" customFormat="1" x14ac:dyDescent="0.35">
      <c r="A2515" s="93"/>
      <c r="D2515" s="932"/>
      <c r="G2515" s="618"/>
      <c r="H2515" s="618"/>
      <c r="I2515" s="21"/>
      <c r="J2515" s="618"/>
      <c r="K2515" s="241"/>
      <c r="L2515" s="924"/>
      <c r="N2515" s="926"/>
      <c r="O2515" s="922"/>
      <c r="P2515" s="922"/>
      <c r="Q2515" s="922"/>
      <c r="R2515" s="922"/>
      <c r="S2515" s="922"/>
      <c r="T2515" s="21"/>
      <c r="V2515" s="247"/>
      <c r="W2515" s="21"/>
    </row>
    <row r="2516" spans="1:27" s="2" customFormat="1" x14ac:dyDescent="0.35">
      <c r="A2516" s="93"/>
      <c r="D2516" s="932" t="s">
        <v>8847</v>
      </c>
      <c r="E2516" s="922"/>
      <c r="F2516" s="2" t="s">
        <v>8848</v>
      </c>
      <c r="G2516" s="618"/>
      <c r="H2516" s="618"/>
      <c r="I2516" s="21"/>
      <c r="J2516" s="618"/>
      <c r="L2516" s="618"/>
      <c r="O2516" s="922"/>
      <c r="P2516" s="922"/>
      <c r="Q2516" s="922"/>
      <c r="R2516" s="922"/>
      <c r="S2516" s="922"/>
      <c r="T2516" s="21"/>
      <c r="V2516" s="247"/>
      <c r="W2516" s="21"/>
    </row>
    <row r="2517" spans="1:27" x14ac:dyDescent="0.35">
      <c r="D2517" s="295"/>
      <c r="E2517" s="300"/>
      <c r="F2517" s="155"/>
      <c r="G2517" s="155"/>
      <c r="H2517" s="1"/>
      <c r="I2517" s="155"/>
      <c r="K2517" s="155"/>
      <c r="N2517" s="295"/>
      <c r="P2517" s="295"/>
      <c r="Q2517" s="295"/>
      <c r="R2517" s="295"/>
      <c r="S2517" s="295"/>
      <c r="T2517" s="295"/>
      <c r="U2517" s="1"/>
      <c r="W2517" s="313"/>
      <c r="X2517" s="1"/>
    </row>
    <row r="2518" spans="1:27" s="5" customFormat="1" x14ac:dyDescent="0.35">
      <c r="A2518" s="86" t="s">
        <v>4704</v>
      </c>
    </row>
    <row r="2519" spans="1:27" x14ac:dyDescent="0.35">
      <c r="D2519" s="300"/>
      <c r="E2519" s="155"/>
      <c r="F2519" s="155"/>
      <c r="G2519" s="1"/>
      <c r="H2519" s="155"/>
      <c r="J2519" s="155"/>
      <c r="M2519" s="295"/>
      <c r="O2519" s="295"/>
      <c r="P2519" s="295"/>
      <c r="Q2519" s="295"/>
      <c r="R2519" s="295"/>
      <c r="S2519" s="295"/>
      <c r="T2519" s="1"/>
      <c r="W2519" s="313"/>
      <c r="X2519" s="1"/>
    </row>
    <row r="2520" spans="1:27" x14ac:dyDescent="0.35">
      <c r="B2520" s="83" t="s">
        <v>4845</v>
      </c>
      <c r="D2520" s="300"/>
      <c r="E2520" s="155"/>
      <c r="F2520" s="155"/>
      <c r="G2520" s="1"/>
      <c r="H2520" s="155"/>
      <c r="J2520" s="155"/>
      <c r="M2520" s="295"/>
      <c r="O2520" s="295"/>
      <c r="P2520" s="295"/>
      <c r="Q2520" s="295"/>
      <c r="R2520" s="295"/>
      <c r="S2520" s="295"/>
      <c r="T2520" s="1"/>
      <c r="W2520" s="313"/>
      <c r="X2520" s="1"/>
    </row>
    <row r="2521" spans="1:27" x14ac:dyDescent="0.35">
      <c r="D2521" t="s">
        <v>4848</v>
      </c>
      <c r="E2521" s="155"/>
      <c r="F2521" s="1"/>
      <c r="G2521" s="155"/>
    </row>
    <row r="2522" spans="1:27" x14ac:dyDescent="0.35">
      <c r="D2522" s="155"/>
      <c r="E2522" s="155"/>
      <c r="F2522" s="1"/>
      <c r="G2522" s="155"/>
    </row>
    <row r="2523" spans="1:27" ht="24.5" x14ac:dyDescent="0.35">
      <c r="D2523" s="155"/>
      <c r="E2523" s="155"/>
      <c r="F2523" s="1"/>
      <c r="G2523" s="123" t="s">
        <v>4840</v>
      </c>
      <c r="H2523" s="123" t="s">
        <v>4841</v>
      </c>
      <c r="I2523" s="123" t="s">
        <v>4852</v>
      </c>
      <c r="J2523" s="4"/>
      <c r="K2523" s="123" t="s">
        <v>4861</v>
      </c>
      <c r="L2523" s="4"/>
      <c r="M2523" s="123" t="s">
        <v>4305</v>
      </c>
      <c r="N2523" s="4"/>
      <c r="O2523" s="4"/>
    </row>
    <row r="2524" spans="1:27" x14ac:dyDescent="0.35">
      <c r="D2524" s="95" t="s">
        <v>4850</v>
      </c>
      <c r="E2524" s="155"/>
      <c r="F2524" s="1"/>
      <c r="G2524" s="3">
        <v>2</v>
      </c>
      <c r="H2524" s="3">
        <f>G2524*6</f>
        <v>12</v>
      </c>
      <c r="I2524" s="481" t="s">
        <v>4705</v>
      </c>
      <c r="J2524" s="155"/>
      <c r="M2524" t="s">
        <v>8186</v>
      </c>
    </row>
    <row r="2525" spans="1:27" x14ac:dyDescent="0.35">
      <c r="D2525" s="155" t="s">
        <v>4851</v>
      </c>
      <c r="E2525" s="155"/>
      <c r="F2525" s="1"/>
      <c r="G2525" s="3">
        <v>2</v>
      </c>
      <c r="H2525" s="3">
        <f>G2525*2</f>
        <v>4</v>
      </c>
      <c r="I2525" s="481" t="s">
        <v>4706</v>
      </c>
      <c r="J2525" s="155"/>
      <c r="M2525" t="s">
        <v>4707</v>
      </c>
    </row>
    <row r="2526" spans="1:27" x14ac:dyDescent="0.35">
      <c r="D2526" s="155"/>
      <c r="E2526" s="155"/>
      <c r="F2526" s="1"/>
      <c r="G2526" s="3">
        <v>1</v>
      </c>
      <c r="H2526" s="3">
        <f>G2526*2</f>
        <v>2</v>
      </c>
      <c r="I2526" s="481" t="s">
        <v>4835</v>
      </c>
      <c r="J2526" s="155"/>
      <c r="M2526" t="s">
        <v>4837</v>
      </c>
    </row>
    <row r="2527" spans="1:27" x14ac:dyDescent="0.35">
      <c r="D2527" s="155"/>
      <c r="E2527" s="155"/>
      <c r="F2527" s="1"/>
      <c r="G2527" s="3">
        <v>1</v>
      </c>
      <c r="H2527" s="3">
        <f>G2527</f>
        <v>1</v>
      </c>
      <c r="I2527" s="481" t="s">
        <v>4836</v>
      </c>
      <c r="J2527" s="155"/>
      <c r="M2527" t="s">
        <v>4838</v>
      </c>
    </row>
    <row r="2528" spans="1:27" x14ac:dyDescent="0.35">
      <c r="D2528" s="155"/>
      <c r="E2528" s="155"/>
      <c r="F2528" s="1"/>
      <c r="G2528" s="3">
        <v>1</v>
      </c>
      <c r="H2528" s="138">
        <f>G2528*3</f>
        <v>3</v>
      </c>
      <c r="I2528" s="481" t="s">
        <v>8195</v>
      </c>
      <c r="J2528" s="155"/>
      <c r="M2528" t="s">
        <v>4839</v>
      </c>
    </row>
    <row r="2529" spans="2:24" x14ac:dyDescent="0.35">
      <c r="D2529" s="155"/>
      <c r="E2529" s="155"/>
      <c r="F2529" s="1"/>
      <c r="G2529" s="3">
        <v>1</v>
      </c>
      <c r="H2529" s="205">
        <f>G2529*3</f>
        <v>3</v>
      </c>
      <c r="I2529" s="481" t="s">
        <v>8196</v>
      </c>
      <c r="J2529" s="155"/>
      <c r="M2529" t="s">
        <v>4709</v>
      </c>
    </row>
    <row r="2530" spans="2:24" x14ac:dyDescent="0.35">
      <c r="D2530" s="155"/>
      <c r="E2530" s="155"/>
      <c r="F2530" s="1"/>
      <c r="G2530" s="155"/>
      <c r="H2530" s="3">
        <f>SUM(H2524:H2529)</f>
        <v>25</v>
      </c>
      <c r="K2530" t="s">
        <v>4860</v>
      </c>
      <c r="L2530" s="155"/>
    </row>
    <row r="2531" spans="2:24" x14ac:dyDescent="0.35">
      <c r="D2531" s="155"/>
      <c r="E2531" s="155"/>
      <c r="F2531" s="1"/>
      <c r="G2531" s="155"/>
      <c r="H2531" s="3"/>
      <c r="L2531" s="155"/>
    </row>
    <row r="2532" spans="2:24" x14ac:dyDescent="0.35">
      <c r="D2532" s="95" t="s">
        <v>4843</v>
      </c>
      <c r="E2532" s="155"/>
      <c r="G2532" s="3">
        <v>1</v>
      </c>
      <c r="H2532" s="3">
        <v>1</v>
      </c>
      <c r="I2532" s="481" t="s">
        <v>8193</v>
      </c>
      <c r="K2532" s="155" t="s">
        <v>4859</v>
      </c>
      <c r="L2532" s="295"/>
      <c r="M2532" t="s">
        <v>8187</v>
      </c>
      <c r="P2532" s="295"/>
      <c r="Q2532" s="295"/>
      <c r="R2532" s="295"/>
      <c r="T2532" s="1"/>
      <c r="W2532" s="313"/>
      <c r="X2532" s="1"/>
    </row>
    <row r="2533" spans="2:24" x14ac:dyDescent="0.35">
      <c r="D2533" s="95" t="s">
        <v>4844</v>
      </c>
      <c r="E2533" s="155"/>
      <c r="G2533" s="3">
        <v>1</v>
      </c>
      <c r="H2533" s="3">
        <v>1</v>
      </c>
      <c r="I2533" s="481" t="s">
        <v>8193</v>
      </c>
      <c r="K2533" s="155" t="s">
        <v>4859</v>
      </c>
      <c r="L2533" s="295"/>
      <c r="M2533" t="s">
        <v>122</v>
      </c>
      <c r="P2533" s="295"/>
      <c r="Q2533" s="295"/>
      <c r="R2533" s="295"/>
      <c r="T2533" s="1"/>
      <c r="W2533" s="313"/>
      <c r="X2533" s="1"/>
    </row>
    <row r="2534" spans="2:24" x14ac:dyDescent="0.35">
      <c r="D2534" s="95"/>
      <c r="E2534" s="155"/>
      <c r="G2534" s="3"/>
      <c r="H2534" s="3"/>
      <c r="I2534" s="481"/>
      <c r="K2534" s="1"/>
      <c r="L2534" s="295"/>
      <c r="P2534" s="295"/>
      <c r="Q2534" s="295"/>
      <c r="R2534" s="295"/>
      <c r="T2534" s="1"/>
      <c r="W2534" s="313"/>
      <c r="X2534" s="1"/>
    </row>
    <row r="2535" spans="2:24" x14ac:dyDescent="0.35">
      <c r="B2535" s="83" t="s">
        <v>4846</v>
      </c>
      <c r="D2535" s="95"/>
      <c r="E2535" s="155"/>
      <c r="G2535" s="3"/>
      <c r="H2535" s="3"/>
      <c r="I2535" s="481"/>
      <c r="K2535" s="1"/>
      <c r="L2535" s="295"/>
      <c r="P2535" s="295"/>
      <c r="Q2535" s="295"/>
      <c r="R2535" s="295"/>
      <c r="T2535" s="1"/>
      <c r="W2535" s="313"/>
      <c r="X2535" s="1"/>
    </row>
    <row r="2536" spans="2:24" x14ac:dyDescent="0.35">
      <c r="D2536" s="95" t="s">
        <v>4708</v>
      </c>
      <c r="E2536" s="155"/>
      <c r="G2536" s="3">
        <v>1</v>
      </c>
      <c r="H2536" s="3">
        <v>1</v>
      </c>
      <c r="I2536" s="481" t="s">
        <v>8194</v>
      </c>
      <c r="K2536" s="155" t="s">
        <v>4859</v>
      </c>
      <c r="L2536" s="295"/>
      <c r="M2536" t="str">
        <f>M2532</f>
        <v>close to earth ground, main power bus, 8 to 80Amps, 200 to 400VDC, 20KW</v>
      </c>
      <c r="P2536" s="295"/>
      <c r="Q2536" s="295"/>
      <c r="R2536" s="295"/>
      <c r="T2536" s="1"/>
      <c r="W2536" s="313"/>
      <c r="X2536" s="1"/>
    </row>
    <row r="2537" spans="2:24" x14ac:dyDescent="0.35">
      <c r="D2537" s="95" t="s">
        <v>4842</v>
      </c>
      <c r="E2537" s="155"/>
      <c r="G2537" s="3">
        <v>1</v>
      </c>
      <c r="H2537" s="3">
        <v>1</v>
      </c>
      <c r="I2537" s="481" t="s">
        <v>8194</v>
      </c>
      <c r="K2537" s="155" t="s">
        <v>4859</v>
      </c>
      <c r="L2537" s="295"/>
      <c r="M2537" t="s">
        <v>122</v>
      </c>
      <c r="O2537" s="295"/>
      <c r="P2537" s="295"/>
      <c r="Q2537" s="295"/>
      <c r="R2537" s="295"/>
      <c r="T2537" s="1"/>
      <c r="W2537" s="313"/>
      <c r="X2537" s="1"/>
    </row>
    <row r="2538" spans="2:24" x14ac:dyDescent="0.35">
      <c r="D2538" s="95"/>
      <c r="E2538" s="155"/>
      <c r="G2538" s="3"/>
      <c r="H2538" s="3"/>
      <c r="I2538" s="481"/>
      <c r="K2538" s="155"/>
      <c r="L2538" s="295"/>
      <c r="O2538" s="295"/>
      <c r="P2538" s="295"/>
      <c r="Q2538" s="295"/>
      <c r="R2538" s="295"/>
      <c r="T2538" s="1"/>
      <c r="W2538" s="313"/>
      <c r="X2538" s="1"/>
    </row>
    <row r="2539" spans="2:24" x14ac:dyDescent="0.35">
      <c r="B2539" s="83" t="s">
        <v>4847</v>
      </c>
      <c r="D2539" s="155"/>
      <c r="E2539" s="155"/>
      <c r="G2539" s="155"/>
      <c r="I2539" s="155"/>
      <c r="L2539" s="295"/>
      <c r="N2539" s="295"/>
      <c r="O2539" s="295"/>
      <c r="P2539" s="295"/>
      <c r="Q2539" s="295"/>
      <c r="R2539" s="295"/>
      <c r="T2539" s="1"/>
      <c r="W2539" s="313"/>
      <c r="X2539" s="1"/>
    </row>
    <row r="2540" spans="2:24" x14ac:dyDescent="0.35">
      <c r="D2540" s="95" t="s">
        <v>4849</v>
      </c>
      <c r="G2540" s="3">
        <v>2</v>
      </c>
      <c r="H2540" s="3">
        <f>G2540*6</f>
        <v>12</v>
      </c>
      <c r="I2540" s="481" t="s">
        <v>4854</v>
      </c>
      <c r="J2540" s="155"/>
      <c r="M2540" t="s">
        <v>8185</v>
      </c>
      <c r="P2540" s="295"/>
      <c r="Q2540" s="295"/>
      <c r="R2540" s="295"/>
      <c r="T2540" s="1"/>
      <c r="W2540" s="313"/>
      <c r="X2540" s="1"/>
    </row>
    <row r="2541" spans="2:24" x14ac:dyDescent="0.35">
      <c r="D2541" s="155" t="s">
        <v>4853</v>
      </c>
      <c r="G2541" s="3">
        <v>2</v>
      </c>
      <c r="H2541" s="3">
        <f>G2541*2</f>
        <v>4</v>
      </c>
      <c r="I2541" s="481" t="s">
        <v>4855</v>
      </c>
      <c r="J2541" s="155"/>
      <c r="M2541" t="s">
        <v>4707</v>
      </c>
      <c r="P2541" s="295"/>
      <c r="Q2541" s="295"/>
      <c r="R2541" s="295"/>
      <c r="T2541" s="1"/>
      <c r="W2541" s="313"/>
      <c r="X2541" s="1"/>
    </row>
    <row r="2542" spans="2:24" x14ac:dyDescent="0.35">
      <c r="G2542" s="3">
        <v>1</v>
      </c>
      <c r="H2542" s="3">
        <f>G2542*2</f>
        <v>2</v>
      </c>
      <c r="I2542" s="481" t="s">
        <v>4856</v>
      </c>
      <c r="J2542" s="155"/>
      <c r="M2542" t="s">
        <v>4837</v>
      </c>
      <c r="P2542" s="295"/>
      <c r="Q2542" s="295"/>
      <c r="R2542" s="295"/>
      <c r="S2542" s="295"/>
      <c r="T2542" s="1"/>
      <c r="W2542" s="313"/>
      <c r="X2542" s="1"/>
    </row>
    <row r="2543" spans="2:24" x14ac:dyDescent="0.35">
      <c r="G2543" s="3">
        <v>1</v>
      </c>
      <c r="H2543" s="3">
        <f t="shared" ref="H2543:H2545" si="100">G2543*2</f>
        <v>2</v>
      </c>
      <c r="I2543" s="481" t="s">
        <v>4857</v>
      </c>
      <c r="J2543" s="155"/>
      <c r="M2543" t="s">
        <v>4838</v>
      </c>
      <c r="P2543" s="295"/>
      <c r="Q2543" s="295"/>
      <c r="R2543" s="295"/>
      <c r="S2543" s="295"/>
      <c r="T2543" s="1"/>
      <c r="W2543" s="313"/>
      <c r="X2543" s="1"/>
    </row>
    <row r="2544" spans="2:24" x14ac:dyDescent="0.35">
      <c r="G2544" s="3">
        <v>1</v>
      </c>
      <c r="H2544" s="3">
        <f t="shared" si="100"/>
        <v>2</v>
      </c>
      <c r="I2544" s="481" t="str">
        <f>I2528</f>
        <v>EarthGroundSense</v>
      </c>
      <c r="J2544" s="155"/>
      <c r="M2544" t="s">
        <v>4839</v>
      </c>
      <c r="P2544" s="295"/>
      <c r="Q2544" s="295"/>
      <c r="R2544" s="295"/>
      <c r="S2544" s="295"/>
      <c r="T2544" s="1"/>
      <c r="W2544" s="313"/>
      <c r="X2544" s="1"/>
    </row>
    <row r="2545" spans="1:28" x14ac:dyDescent="0.35">
      <c r="G2545" s="3">
        <v>1</v>
      </c>
      <c r="H2545" s="205">
        <f t="shared" si="100"/>
        <v>2</v>
      </c>
      <c r="I2545" s="481" t="str">
        <f>I2529</f>
        <v>EarthGround_Shield</v>
      </c>
      <c r="J2545" s="155"/>
      <c r="M2545" t="s">
        <v>4709</v>
      </c>
      <c r="P2545" s="295"/>
      <c r="Q2545" s="295"/>
      <c r="R2545" s="295"/>
      <c r="S2545" s="295"/>
      <c r="T2545" s="1"/>
      <c r="W2545" s="313"/>
      <c r="X2545" s="1"/>
    </row>
    <row r="2546" spans="1:28" x14ac:dyDescent="0.35">
      <c r="H2546" s="3">
        <f>SUM(H2540:H2545)</f>
        <v>24</v>
      </c>
      <c r="K2546" t="s">
        <v>4860</v>
      </c>
      <c r="O2546" s="295"/>
      <c r="P2546" s="295"/>
      <c r="Q2546" s="295"/>
      <c r="R2546" s="295"/>
      <c r="S2546" s="295"/>
      <c r="T2546" s="1"/>
      <c r="W2546" s="313"/>
      <c r="X2546" s="1"/>
    </row>
    <row r="2547" spans="1:28" x14ac:dyDescent="0.35">
      <c r="O2547" s="295"/>
      <c r="P2547" s="295"/>
      <c r="Q2547" s="295"/>
      <c r="R2547" s="295"/>
      <c r="S2547" s="295"/>
      <c r="T2547" s="1"/>
      <c r="W2547" s="313"/>
      <c r="X2547" s="1"/>
    </row>
    <row r="2548" spans="1:28" x14ac:dyDescent="0.35">
      <c r="D2548" s="95" t="s">
        <v>4858</v>
      </c>
      <c r="E2548" s="155"/>
      <c r="G2548" s="3">
        <v>1</v>
      </c>
      <c r="H2548" s="3">
        <v>1</v>
      </c>
      <c r="I2548" s="481" t="s">
        <v>8197</v>
      </c>
      <c r="K2548" s="155" t="s">
        <v>4859</v>
      </c>
      <c r="L2548" s="295"/>
      <c r="M2548" t="s">
        <v>8199</v>
      </c>
      <c r="O2548" s="295"/>
      <c r="P2548" s="295"/>
      <c r="Q2548" s="295"/>
      <c r="R2548" s="295"/>
      <c r="S2548" s="295"/>
      <c r="T2548" s="1"/>
      <c r="W2548" s="313"/>
      <c r="X2548" s="1"/>
    </row>
    <row r="2549" spans="1:28" x14ac:dyDescent="0.35">
      <c r="D2549" s="95" t="s">
        <v>4862</v>
      </c>
      <c r="E2549" s="155"/>
      <c r="G2549" s="3">
        <v>1</v>
      </c>
      <c r="H2549" s="3">
        <v>1</v>
      </c>
      <c r="I2549" s="481" t="s">
        <v>8198</v>
      </c>
      <c r="K2549" s="155" t="s">
        <v>4859</v>
      </c>
      <c r="L2549" s="295"/>
      <c r="M2549" t="s">
        <v>122</v>
      </c>
      <c r="O2549" s="295"/>
      <c r="P2549" s="295"/>
      <c r="Q2549" s="295"/>
      <c r="R2549" s="295"/>
      <c r="S2549" s="295"/>
      <c r="T2549" s="1"/>
      <c r="W2549" s="313"/>
      <c r="X2549" s="1"/>
    </row>
    <row r="2550" spans="1:28" x14ac:dyDescent="0.35">
      <c r="D2550" s="95"/>
      <c r="E2550" s="155"/>
      <c r="F2550" s="155"/>
      <c r="G2550" s="1"/>
      <c r="H2550" s="155"/>
      <c r="J2550" s="155"/>
      <c r="M2550" s="295"/>
      <c r="O2550" s="295"/>
      <c r="P2550" s="295"/>
      <c r="Q2550" s="295"/>
      <c r="R2550" s="295"/>
      <c r="S2550" s="295"/>
      <c r="T2550" s="1"/>
      <c r="W2550" s="313"/>
      <c r="X2550" s="1"/>
    </row>
    <row r="2551" spans="1:28" s="5" customFormat="1" x14ac:dyDescent="0.35">
      <c r="A2551" s="86" t="s">
        <v>4138</v>
      </c>
    </row>
    <row r="2552" spans="1:28" x14ac:dyDescent="0.35">
      <c r="Q2552" s="73"/>
      <c r="R2552" s="1"/>
      <c r="T2552" s="313"/>
      <c r="U2552" s="1"/>
      <c r="W2552" s="313"/>
      <c r="X2552" s="1"/>
    </row>
    <row r="2553" spans="1:28" x14ac:dyDescent="0.35">
      <c r="B2553" s="83" t="s">
        <v>1377</v>
      </c>
      <c r="D2553" s="170" t="s">
        <v>3664</v>
      </c>
      <c r="K2553" s="170" t="s">
        <v>5761</v>
      </c>
      <c r="M2553" s="1" t="s">
        <v>3665</v>
      </c>
      <c r="O2553" t="s">
        <v>0</v>
      </c>
    </row>
    <row r="2554" spans="1:28" x14ac:dyDescent="0.35">
      <c r="D2554" s="95" t="s">
        <v>5759</v>
      </c>
      <c r="K2554" s="95" t="s">
        <v>3668</v>
      </c>
      <c r="M2554" s="1" t="s">
        <v>5760</v>
      </c>
      <c r="O2554" t="s">
        <v>0</v>
      </c>
    </row>
    <row r="2555" spans="1:28" x14ac:dyDescent="0.35">
      <c r="D2555" s="95" t="s">
        <v>4157</v>
      </c>
      <c r="K2555" s="95" t="s">
        <v>3668</v>
      </c>
      <c r="M2555" s="1" t="s">
        <v>6035</v>
      </c>
      <c r="O2555" t="s">
        <v>0</v>
      </c>
    </row>
    <row r="2556" spans="1:28" x14ac:dyDescent="0.35">
      <c r="B2556" s="152"/>
    </row>
    <row r="2557" spans="1:28" x14ac:dyDescent="0.35">
      <c r="B2557" s="83" t="s">
        <v>6010</v>
      </c>
      <c r="I2557" s="155"/>
    </row>
    <row r="2558" spans="1:28" ht="16.5" x14ac:dyDescent="0.45">
      <c r="B2558" s="152"/>
      <c r="D2558" s="155" t="s">
        <v>2959</v>
      </c>
      <c r="G2558" t="s">
        <v>6220</v>
      </c>
      <c r="H2558" s="155" t="s">
        <v>2</v>
      </c>
      <c r="I2558" s="638">
        <v>48</v>
      </c>
      <c r="J2558" s="638">
        <v>48</v>
      </c>
      <c r="K2558" s="638">
        <v>48</v>
      </c>
      <c r="L2558" s="170"/>
      <c r="M2558" s="638">
        <v>25</v>
      </c>
      <c r="O2558" s="638">
        <v>75</v>
      </c>
      <c r="P2558" s="638">
        <v>75</v>
      </c>
      <c r="R2558" s="155"/>
      <c r="S2558" s="1"/>
      <c r="U2558" s="73"/>
      <c r="V2558" s="1"/>
      <c r="X2558" s="313"/>
      <c r="Y2558" s="1"/>
      <c r="AA2558" s="313"/>
      <c r="AB2558" s="1"/>
    </row>
    <row r="2559" spans="1:28" ht="16.5" x14ac:dyDescent="0.45">
      <c r="B2559" s="152"/>
      <c r="D2559" s="155" t="s">
        <v>2969</v>
      </c>
      <c r="G2559" t="s">
        <v>6298</v>
      </c>
      <c r="H2559" s="155" t="s">
        <v>2</v>
      </c>
      <c r="I2559" s="642">
        <v>39.049999999999997</v>
      </c>
      <c r="J2559" s="171">
        <v>30</v>
      </c>
      <c r="K2559" s="171">
        <v>46</v>
      </c>
      <c r="L2559" s="170"/>
      <c r="M2559" s="171">
        <v>20</v>
      </c>
      <c r="O2559" s="171">
        <v>60</v>
      </c>
      <c r="P2559" s="171">
        <v>35</v>
      </c>
      <c r="R2559" s="155"/>
      <c r="S2559" s="1"/>
      <c r="U2559" s="73"/>
      <c r="V2559" s="1"/>
      <c r="X2559" s="313"/>
      <c r="Y2559" s="1"/>
      <c r="AA2559" s="313"/>
      <c r="AB2559" s="1"/>
    </row>
    <row r="2560" spans="1:28" ht="16.5" x14ac:dyDescent="0.45">
      <c r="B2560" s="152"/>
      <c r="D2560" s="155" t="s">
        <v>4139</v>
      </c>
      <c r="G2560" t="s">
        <v>6038</v>
      </c>
      <c r="H2560" s="155" t="s">
        <v>5</v>
      </c>
      <c r="I2560" s="638">
        <f>(39.05/5)</f>
        <v>7.81</v>
      </c>
      <c r="J2560" s="638">
        <f>300/J2559</f>
        <v>10</v>
      </c>
      <c r="K2560" s="638">
        <f>300/K2559</f>
        <v>6.5217391304347823</v>
      </c>
      <c r="L2560" s="170"/>
      <c r="M2560" s="638">
        <f>200/M2559</f>
        <v>10</v>
      </c>
      <c r="O2560" s="638">
        <f>300/O2559</f>
        <v>5</v>
      </c>
      <c r="P2560" s="638">
        <f>300/P2559</f>
        <v>8.5714285714285712</v>
      </c>
      <c r="R2560" s="155"/>
      <c r="S2560" s="1"/>
      <c r="U2560" s="73"/>
      <c r="V2560" s="1"/>
      <c r="X2560" s="313"/>
      <c r="Y2560" s="1"/>
      <c r="AA2560" s="313"/>
      <c r="AB2560" s="1"/>
    </row>
    <row r="2561" spans="2:28" x14ac:dyDescent="0.35">
      <c r="B2561" s="152"/>
      <c r="D2561" s="155" t="s">
        <v>4140</v>
      </c>
      <c r="G2561" t="s">
        <v>6295</v>
      </c>
      <c r="H2561" s="155" t="s">
        <v>2747</v>
      </c>
      <c r="I2561" s="639">
        <v>4000</v>
      </c>
      <c r="J2561" s="639">
        <v>4000</v>
      </c>
      <c r="K2561" s="639">
        <f>1000000/177</f>
        <v>5649.7175141242942</v>
      </c>
      <c r="L2561" s="170"/>
      <c r="M2561" s="639">
        <v>2000</v>
      </c>
      <c r="O2561" s="639">
        <v>2000</v>
      </c>
      <c r="P2561" s="639">
        <v>3000</v>
      </c>
      <c r="R2561" s="155"/>
      <c r="S2561" s="1"/>
      <c r="U2561" s="73"/>
      <c r="V2561" s="1"/>
      <c r="X2561" s="313"/>
      <c r="Y2561" s="1"/>
      <c r="AA2561" s="313"/>
      <c r="AB2561" s="1"/>
    </row>
    <row r="2562" spans="2:28" x14ac:dyDescent="0.35">
      <c r="B2562" s="152"/>
      <c r="D2562" s="155" t="s">
        <v>6029</v>
      </c>
      <c r="H2562" s="155"/>
      <c r="I2562" s="295" t="s">
        <v>6111</v>
      </c>
      <c r="J2562" s="295"/>
      <c r="K2562" s="295"/>
      <c r="L2562" s="170"/>
      <c r="M2562" s="295"/>
      <c r="O2562" s="295"/>
      <c r="P2562" s="295"/>
      <c r="R2562" s="155"/>
      <c r="S2562" s="1"/>
      <c r="U2562" s="73"/>
      <c r="V2562" s="1"/>
      <c r="X2562" s="313"/>
      <c r="Y2562" s="1"/>
      <c r="AA2562" s="313"/>
      <c r="AB2562" s="1"/>
    </row>
    <row r="2563" spans="2:28" x14ac:dyDescent="0.35">
      <c r="B2563" s="152"/>
      <c r="D2563" s="155" t="s">
        <v>4143</v>
      </c>
      <c r="G2563" t="s">
        <v>6294</v>
      </c>
      <c r="H2563" s="155" t="s">
        <v>4142</v>
      </c>
      <c r="I2563" s="312">
        <v>14000</v>
      </c>
      <c r="J2563" s="312">
        <v>14000</v>
      </c>
      <c r="K2563" s="312">
        <v>14000</v>
      </c>
      <c r="L2563" s="170"/>
      <c r="M2563" s="312">
        <v>14000</v>
      </c>
      <c r="O2563" s="312">
        <v>14000</v>
      </c>
      <c r="P2563" s="312">
        <v>14000</v>
      </c>
      <c r="R2563" s="155"/>
      <c r="S2563" s="1"/>
      <c r="U2563" s="73"/>
      <c r="V2563" s="1"/>
      <c r="X2563" s="313"/>
      <c r="Y2563" s="1"/>
      <c r="AA2563" s="313"/>
      <c r="AB2563" s="1"/>
    </row>
    <row r="2564" spans="2:28" ht="16.5" x14ac:dyDescent="0.45">
      <c r="B2564" s="152"/>
      <c r="D2564" s="155" t="s">
        <v>6265</v>
      </c>
      <c r="G2564" t="s">
        <v>6042</v>
      </c>
      <c r="H2564" s="155" t="s">
        <v>6175</v>
      </c>
      <c r="I2564">
        <v>1.4E-2</v>
      </c>
      <c r="J2564">
        <v>1.4E-2</v>
      </c>
      <c r="K2564">
        <v>1.4E-2</v>
      </c>
      <c r="L2564" s="170"/>
      <c r="M2564">
        <v>1.4E-2</v>
      </c>
      <c r="O2564">
        <v>1.4E-2</v>
      </c>
      <c r="P2564">
        <v>1.4E-2</v>
      </c>
      <c r="R2564" s="155"/>
      <c r="S2564" s="1"/>
      <c r="U2564" s="73"/>
      <c r="V2564" s="1"/>
      <c r="X2564" s="313"/>
      <c r="Y2564" s="1"/>
      <c r="AA2564" s="313"/>
      <c r="AB2564" s="1"/>
    </row>
    <row r="2565" spans="2:28" ht="16.5" x14ac:dyDescent="0.45">
      <c r="B2565" s="152"/>
      <c r="D2565" s="155" t="s">
        <v>6264</v>
      </c>
      <c r="G2565" t="s">
        <v>6266</v>
      </c>
      <c r="H2565" s="155" t="s">
        <v>6175</v>
      </c>
      <c r="I2565">
        <v>2.3E-3</v>
      </c>
      <c r="J2565">
        <v>2.3E-3</v>
      </c>
      <c r="K2565">
        <v>2.3E-3</v>
      </c>
      <c r="L2565" s="170"/>
      <c r="M2565">
        <v>2.3E-3</v>
      </c>
      <c r="O2565">
        <v>2.3E-3</v>
      </c>
      <c r="P2565">
        <v>2.3E-3</v>
      </c>
      <c r="S2565" s="1"/>
      <c r="U2565" s="73"/>
      <c r="V2565" s="1"/>
      <c r="X2565" s="313"/>
      <c r="Y2565" s="1"/>
      <c r="AA2565" s="313"/>
      <c r="AB2565" s="1"/>
    </row>
    <row r="2566" spans="2:28" ht="16.5" x14ac:dyDescent="0.45">
      <c r="B2566" s="152"/>
      <c r="D2566" s="155" t="s">
        <v>6008</v>
      </c>
      <c r="G2566" t="s">
        <v>6293</v>
      </c>
      <c r="H2566" s="155" t="s">
        <v>2</v>
      </c>
      <c r="I2566" s="870">
        <v>10</v>
      </c>
      <c r="J2566" s="870">
        <v>10</v>
      </c>
      <c r="K2566" s="870">
        <v>10</v>
      </c>
      <c r="L2566" s="182"/>
      <c r="M2566" s="870">
        <v>10</v>
      </c>
      <c r="N2566" s="182"/>
      <c r="O2566" s="870">
        <v>10</v>
      </c>
      <c r="P2566" s="870">
        <v>10</v>
      </c>
      <c r="R2566" s="155"/>
      <c r="S2566" s="1"/>
      <c r="U2566" s="73"/>
      <c r="V2566" s="1"/>
      <c r="X2566" s="313"/>
      <c r="Y2566" s="1"/>
      <c r="AA2566" s="313"/>
      <c r="AB2566" s="1"/>
    </row>
    <row r="2567" spans="2:28" ht="16.5" x14ac:dyDescent="0.45">
      <c r="B2567" s="152"/>
      <c r="D2567" s="155" t="s">
        <v>6127</v>
      </c>
      <c r="G2567" t="s">
        <v>6129</v>
      </c>
      <c r="H2567" s="155" t="s">
        <v>40</v>
      </c>
      <c r="I2567" s="11">
        <v>1E-3</v>
      </c>
      <c r="J2567" s="11">
        <v>1E-3</v>
      </c>
      <c r="K2567" s="11">
        <v>1E-3</v>
      </c>
      <c r="L2567" s="170"/>
      <c r="M2567" s="11">
        <v>1E-3</v>
      </c>
      <c r="O2567" s="11">
        <v>1E-3</v>
      </c>
      <c r="P2567" s="11">
        <v>1E-3</v>
      </c>
      <c r="R2567" s="155"/>
      <c r="S2567" s="1"/>
      <c r="U2567" s="73"/>
      <c r="V2567" s="1"/>
      <c r="X2567" s="313"/>
      <c r="Y2567" s="1"/>
      <c r="AA2567" s="313"/>
      <c r="AB2567" s="1"/>
    </row>
    <row r="2568" spans="2:28" ht="16.5" x14ac:dyDescent="0.45">
      <c r="B2568" s="152"/>
      <c r="D2568" s="155" t="s">
        <v>6128</v>
      </c>
      <c r="G2568" t="s">
        <v>6130</v>
      </c>
      <c r="H2568" s="155" t="s">
        <v>40</v>
      </c>
      <c r="I2568">
        <v>8.0000000000000004E-4</v>
      </c>
      <c r="J2568">
        <v>8.0000000000000004E-4</v>
      </c>
      <c r="K2568">
        <v>8.0000000000000004E-4</v>
      </c>
      <c r="L2568" s="170"/>
      <c r="M2568">
        <v>8.0000000000000004E-4</v>
      </c>
      <c r="O2568">
        <v>8.0000000000000004E-4</v>
      </c>
      <c r="P2568">
        <v>8.0000000000000004E-4</v>
      </c>
      <c r="R2568" s="155"/>
      <c r="S2568" s="1"/>
      <c r="U2568" s="73"/>
      <c r="V2568" s="1"/>
      <c r="X2568" s="313"/>
      <c r="Y2568" s="1"/>
      <c r="AA2568" s="313"/>
      <c r="AB2568" s="1"/>
    </row>
    <row r="2569" spans="2:28" ht="16.5" x14ac:dyDescent="0.45">
      <c r="B2569" s="152"/>
      <c r="D2569" s="155" t="s">
        <v>6248</v>
      </c>
      <c r="G2569" t="s">
        <v>6247</v>
      </c>
      <c r="H2569" s="155" t="s">
        <v>6167</v>
      </c>
      <c r="I2569">
        <v>26</v>
      </c>
      <c r="J2569">
        <v>26</v>
      </c>
      <c r="K2569">
        <v>26</v>
      </c>
      <c r="L2569" s="170"/>
      <c r="M2569">
        <v>26</v>
      </c>
      <c r="O2569">
        <v>26</v>
      </c>
      <c r="P2569">
        <v>26</v>
      </c>
      <c r="R2569" s="155"/>
      <c r="S2569" s="1"/>
      <c r="U2569" s="73"/>
      <c r="V2569" s="1"/>
      <c r="X2569" s="313"/>
      <c r="Y2569" s="1"/>
      <c r="AA2569" s="313"/>
      <c r="AB2569" s="1"/>
    </row>
    <row r="2570" spans="2:28" x14ac:dyDescent="0.35">
      <c r="B2570" s="152"/>
      <c r="D2570" s="155"/>
      <c r="H2570" s="155"/>
      <c r="L2570" s="170"/>
      <c r="R2570" s="155"/>
      <c r="S2570" s="1"/>
      <c r="U2570" s="73"/>
      <c r="V2570" s="1"/>
      <c r="X2570" s="313"/>
      <c r="Y2570" s="1"/>
      <c r="AA2570" s="313"/>
      <c r="AB2570" s="1"/>
    </row>
    <row r="2571" spans="2:28" x14ac:dyDescent="0.35">
      <c r="B2571" s="83" t="s">
        <v>6154</v>
      </c>
      <c r="D2571" s="155"/>
      <c r="H2571" s="155"/>
      <c r="I2571" s="162"/>
      <c r="J2571" s="162"/>
      <c r="K2571" s="162"/>
      <c r="L2571" s="170"/>
      <c r="M2571" s="162"/>
      <c r="O2571" s="162"/>
      <c r="P2571" s="162"/>
      <c r="R2571" s="155"/>
      <c r="S2571" s="1"/>
      <c r="U2571" s="73"/>
      <c r="V2571" s="1"/>
      <c r="X2571" s="313"/>
      <c r="Y2571" s="1"/>
      <c r="AA2571" s="313"/>
      <c r="AB2571" s="1"/>
    </row>
    <row r="2572" spans="2:28" x14ac:dyDescent="0.35">
      <c r="D2572" s="155" t="s">
        <v>6153</v>
      </c>
      <c r="H2572" s="155"/>
      <c r="I2572" s="649">
        <f>I2643</f>
        <v>0.99061380735363203</v>
      </c>
      <c r="J2572" s="649">
        <f>J2643</f>
        <v>0.98679536506364041</v>
      </c>
      <c r="K2572" s="649">
        <f>K2643</f>
        <v>0.99369013491333646</v>
      </c>
      <c r="L2572" s="620"/>
      <c r="M2572" s="649">
        <f>M2643</f>
        <v>0.97959242363635035</v>
      </c>
      <c r="N2572" s="620"/>
      <c r="O2572" s="649">
        <f>O2643</f>
        <v>0.99154020848476887</v>
      </c>
      <c r="P2572" s="649">
        <f>P2643</f>
        <v>0.98235752841329549</v>
      </c>
      <c r="R2572" s="155"/>
      <c r="S2572" s="1"/>
      <c r="U2572" s="73"/>
      <c r="V2572" s="1"/>
      <c r="X2572" s="313"/>
      <c r="Y2572" s="1"/>
      <c r="AA2572" s="313"/>
      <c r="AB2572" s="1"/>
    </row>
    <row r="2573" spans="2:28" ht="16.5" x14ac:dyDescent="0.45">
      <c r="D2573" s="155" t="s">
        <v>6257</v>
      </c>
      <c r="G2573" s="637" t="s">
        <v>6245</v>
      </c>
      <c r="H2573" s="155" t="s">
        <v>199</v>
      </c>
      <c r="I2573" s="650">
        <f>I2595</f>
        <v>50.963798674785956</v>
      </c>
      <c r="J2573" s="650">
        <f t="shared" ref="J2573:K2573" si="101">J2595</f>
        <v>78.742913137817595</v>
      </c>
      <c r="K2573" s="650">
        <f t="shared" si="101"/>
        <v>26.763261026788033</v>
      </c>
      <c r="L2573" s="620"/>
      <c r="M2573" s="650">
        <f t="shared" ref="M2573" si="102">M2595</f>
        <v>6.9993700566948949</v>
      </c>
      <c r="N2573" s="620"/>
      <c r="O2573" s="650">
        <f>O2595</f>
        <v>20.998110170084686</v>
      </c>
      <c r="P2573" s="650">
        <f>P2595</f>
        <v>73.493385595296417</v>
      </c>
      <c r="R2573" s="155"/>
      <c r="S2573" s="1"/>
      <c r="U2573" s="73"/>
      <c r="V2573" s="1"/>
      <c r="X2573" s="313"/>
      <c r="Y2573" s="1"/>
      <c r="AA2573" s="313"/>
      <c r="AB2573" s="1"/>
    </row>
    <row r="2574" spans="2:28" x14ac:dyDescent="0.35">
      <c r="D2574" s="621" t="s">
        <v>6282</v>
      </c>
      <c r="H2574" s="573" t="s">
        <v>4</v>
      </c>
      <c r="I2574" s="651">
        <f>I2641</f>
        <v>2.8626057263856395</v>
      </c>
      <c r="J2574" s="651">
        <f t="shared" ref="J2574:K2574" si="103">J2641</f>
        <v>3.9613904809078764</v>
      </c>
      <c r="K2574" s="651">
        <f t="shared" si="103"/>
        <v>1.8929595259990657</v>
      </c>
      <c r="L2574" s="620"/>
      <c r="M2574" s="651">
        <f>M2641</f>
        <v>4.081515272729928</v>
      </c>
      <c r="N2574" s="620"/>
      <c r="O2574" s="651">
        <f t="shared" ref="O2574:P2574" si="104">O2641</f>
        <v>2.5379374545693518</v>
      </c>
      <c r="P2574" s="651">
        <f t="shared" si="104"/>
        <v>5.2927414760113676</v>
      </c>
      <c r="R2574" s="155"/>
      <c r="S2574" s="1"/>
      <c r="U2574" s="73"/>
      <c r="V2574" s="1"/>
      <c r="X2574" s="313"/>
      <c r="Y2574" s="1"/>
      <c r="AA2574" s="313"/>
      <c r="AB2574" s="1"/>
    </row>
    <row r="2575" spans="2:28" x14ac:dyDescent="0.35">
      <c r="B2575" s="83" t="s">
        <v>6009</v>
      </c>
      <c r="L2575" s="170"/>
      <c r="R2575" s="155"/>
      <c r="S2575" s="1"/>
      <c r="U2575" s="73"/>
      <c r="V2575" s="1"/>
      <c r="X2575" s="313"/>
      <c r="Y2575" s="1"/>
      <c r="AA2575" s="313"/>
      <c r="AB2575" s="1"/>
    </row>
    <row r="2576" spans="2:28" x14ac:dyDescent="0.35">
      <c r="B2576" s="152"/>
      <c r="D2576" s="155" t="s">
        <v>4148</v>
      </c>
      <c r="G2576" t="s">
        <v>6297</v>
      </c>
      <c r="H2576" s="155" t="s">
        <v>1167</v>
      </c>
      <c r="I2576" s="413">
        <f>I2559/I2558</f>
        <v>0.81354166666666661</v>
      </c>
      <c r="J2576" s="413">
        <f>J2559/J2558</f>
        <v>0.625</v>
      </c>
      <c r="K2576" s="413">
        <f>K2559/K2558</f>
        <v>0.95833333333333337</v>
      </c>
      <c r="L2576" s="170"/>
      <c r="M2576" s="413">
        <f>M2559/M2558</f>
        <v>0.8</v>
      </c>
      <c r="O2576" s="413">
        <f>O2559/O2558</f>
        <v>0.8</v>
      </c>
      <c r="P2576" s="413">
        <f>P2559/P2558</f>
        <v>0.46666666666666667</v>
      </c>
      <c r="R2576" s="155"/>
      <c r="S2576" s="1"/>
      <c r="U2576" s="73"/>
      <c r="V2576" s="1"/>
      <c r="X2576" s="313"/>
      <c r="Y2576" s="1"/>
      <c r="AA2576" s="313"/>
      <c r="AB2576" s="1"/>
    </row>
    <row r="2577" spans="2:30" x14ac:dyDescent="0.35">
      <c r="B2577" s="152"/>
      <c r="D2577" s="155" t="s">
        <v>4152</v>
      </c>
      <c r="H2577" s="155" t="s">
        <v>1167</v>
      </c>
      <c r="I2577" s="413">
        <f>1-I2576</f>
        <v>0.18645833333333339</v>
      </c>
      <c r="J2577" s="413">
        <f>1-J2576</f>
        <v>0.375</v>
      </c>
      <c r="K2577" s="413">
        <f>1-K2576</f>
        <v>4.166666666666663E-2</v>
      </c>
      <c r="L2577" s="170"/>
      <c r="M2577" s="413">
        <f>1-M2576</f>
        <v>0.19999999999999996</v>
      </c>
      <c r="O2577" s="413">
        <f>1-O2576</f>
        <v>0.19999999999999996</v>
      </c>
      <c r="P2577" s="413">
        <f>1-P2576</f>
        <v>0.53333333333333333</v>
      </c>
      <c r="R2577" s="155"/>
      <c r="S2577" s="1"/>
      <c r="U2577" s="73"/>
      <c r="V2577" s="1"/>
      <c r="X2577" s="313"/>
      <c r="Y2577" s="1"/>
      <c r="AA2577" s="313"/>
      <c r="AB2577" s="1"/>
    </row>
    <row r="2578" spans="2:30" ht="15.5" customHeight="1" x14ac:dyDescent="0.35">
      <c r="B2578" s="152"/>
      <c r="D2578" s="155" t="s">
        <v>4155</v>
      </c>
      <c r="G2578" t="s">
        <v>6296</v>
      </c>
      <c r="H2578" s="155" t="s">
        <v>4156</v>
      </c>
      <c r="I2578" s="413">
        <f>1/(I2561/1000)</f>
        <v>0.25</v>
      </c>
      <c r="J2578" s="413">
        <f>1/(J2561/1000)</f>
        <v>0.25</v>
      </c>
      <c r="K2578" s="413">
        <f>1/(K2561/1000)</f>
        <v>0.17699999999999999</v>
      </c>
      <c r="L2578" s="170"/>
      <c r="M2578" s="413">
        <f>1/(M2561/1000)</f>
        <v>0.5</v>
      </c>
      <c r="O2578" s="413">
        <f>1/(O2561/1000)</f>
        <v>0.5</v>
      </c>
      <c r="P2578" s="413">
        <f>1/(P2561/1000)</f>
        <v>0.33333333333333331</v>
      </c>
      <c r="R2578" s="155"/>
      <c r="S2578" s="1"/>
      <c r="U2578" s="73"/>
      <c r="V2578" s="1"/>
      <c r="X2578" s="313"/>
      <c r="Y2578" s="1"/>
      <c r="AA2578" s="313"/>
      <c r="AB2578" s="1"/>
    </row>
    <row r="2579" spans="2:30" ht="16.5" x14ac:dyDescent="0.45">
      <c r="B2579" s="152"/>
      <c r="D2579" s="155" t="s">
        <v>6014</v>
      </c>
      <c r="G2579" t="s">
        <v>6116</v>
      </c>
      <c r="H2579" s="155" t="s">
        <v>2747</v>
      </c>
      <c r="I2579" s="15">
        <f>I2561*I2576</f>
        <v>3254.1666666666665</v>
      </c>
      <c r="J2579" s="15">
        <f>J2561*J2576</f>
        <v>2500</v>
      </c>
      <c r="K2579" s="15">
        <f>K2561*K2576</f>
        <v>5414.3126177024487</v>
      </c>
      <c r="L2579" s="170"/>
      <c r="M2579" s="15">
        <f>M2561*M2576</f>
        <v>1600</v>
      </c>
      <c r="O2579" s="15">
        <f>O2561*O2576</f>
        <v>1600</v>
      </c>
      <c r="P2579" s="15">
        <f>P2561*P2576</f>
        <v>1400</v>
      </c>
      <c r="R2579" s="155"/>
      <c r="S2579" s="1"/>
      <c r="U2579" s="73"/>
      <c r="V2579" s="1"/>
      <c r="X2579" s="313"/>
      <c r="Y2579" s="1"/>
      <c r="AA2579" s="313"/>
      <c r="AB2579" s="1"/>
    </row>
    <row r="2580" spans="2:30" ht="16.5" x14ac:dyDescent="0.45">
      <c r="B2580" s="152"/>
      <c r="D2580" s="155" t="s">
        <v>6018</v>
      </c>
      <c r="G2580" t="s">
        <v>6117</v>
      </c>
      <c r="H2580" s="155" t="s">
        <v>2747</v>
      </c>
      <c r="I2580" s="15">
        <f>I2561-I2579</f>
        <v>745.83333333333348</v>
      </c>
      <c r="J2580" s="15">
        <f>J2561-J2579</f>
        <v>1500</v>
      </c>
      <c r="K2580" s="15">
        <f>K2561-K2579</f>
        <v>235.40489642184548</v>
      </c>
      <c r="L2580" s="170"/>
      <c r="M2580" s="15">
        <f>M2561-M2579</f>
        <v>400</v>
      </c>
      <c r="O2580" s="15">
        <f>O2561-O2579</f>
        <v>400</v>
      </c>
      <c r="P2580" s="15">
        <f>P2561-P2579</f>
        <v>1600</v>
      </c>
      <c r="R2580" s="155"/>
      <c r="S2580" s="1"/>
      <c r="U2580" s="73"/>
      <c r="V2580" s="1"/>
      <c r="X2580" s="313"/>
      <c r="Y2580" s="1"/>
      <c r="AA2580" s="313"/>
      <c r="AB2580" s="1"/>
    </row>
    <row r="2581" spans="2:30" x14ac:dyDescent="0.35">
      <c r="B2581" s="152"/>
      <c r="D2581" s="155" t="s">
        <v>6015</v>
      </c>
      <c r="H2581" s="155" t="s">
        <v>1167</v>
      </c>
      <c r="I2581" s="17">
        <f>I2579/I2561</f>
        <v>0.81354166666666661</v>
      </c>
      <c r="J2581" s="17">
        <f>J2579/J2561</f>
        <v>0.625</v>
      </c>
      <c r="K2581" s="17">
        <f>K2579/K2561</f>
        <v>0.95833333333333337</v>
      </c>
      <c r="L2581" s="170"/>
      <c r="M2581" s="17">
        <f>M2579/M2561</f>
        <v>0.8</v>
      </c>
      <c r="O2581" s="17">
        <f>O2579/O2561</f>
        <v>0.8</v>
      </c>
      <c r="P2581" s="17">
        <f>P2579/P2561</f>
        <v>0.46666666666666667</v>
      </c>
      <c r="R2581" s="155"/>
      <c r="S2581" s="1"/>
      <c r="U2581" s="73"/>
      <c r="V2581" s="1"/>
      <c r="X2581" s="313"/>
      <c r="Y2581" s="1"/>
      <c r="AA2581" s="313"/>
      <c r="AB2581" s="1"/>
    </row>
    <row r="2582" spans="2:30" x14ac:dyDescent="0.35">
      <c r="B2582" s="152"/>
      <c r="D2582" s="155" t="s">
        <v>6018</v>
      </c>
      <c r="H2582" s="155" t="s">
        <v>1167</v>
      </c>
      <c r="I2582" s="17">
        <f>I2580/I2561</f>
        <v>0.18645833333333336</v>
      </c>
      <c r="J2582" s="17">
        <f>J2580/J2561</f>
        <v>0.375</v>
      </c>
      <c r="K2582" s="17">
        <f>K2580/K2561</f>
        <v>4.1666666666666644E-2</v>
      </c>
      <c r="L2582" s="170"/>
      <c r="M2582" s="17">
        <f>M2580/M2561</f>
        <v>0.2</v>
      </c>
      <c r="O2582" s="17">
        <f>O2580/O2561</f>
        <v>0.2</v>
      </c>
      <c r="P2582" s="17">
        <f>P2580/P2561</f>
        <v>0.53333333333333333</v>
      </c>
      <c r="R2582" s="155"/>
      <c r="S2582" s="1"/>
      <c r="U2582" s="73"/>
      <c r="V2582" s="1"/>
      <c r="X2582" s="313"/>
      <c r="Y2582" s="1"/>
      <c r="AA2582" s="313"/>
      <c r="AB2582" s="1"/>
    </row>
    <row r="2583" spans="2:30" x14ac:dyDescent="0.35">
      <c r="B2583" s="152"/>
      <c r="D2583" s="155"/>
      <c r="H2583" s="155"/>
      <c r="I2583" s="17"/>
      <c r="J2583" s="17"/>
      <c r="K2583" s="17"/>
      <c r="L2583" s="170"/>
      <c r="M2583" s="17"/>
      <c r="O2583" s="17"/>
      <c r="P2583" s="17"/>
      <c r="R2583" s="155"/>
      <c r="S2583" s="1"/>
      <c r="U2583" s="73"/>
      <c r="V2583" s="1"/>
      <c r="X2583" s="313"/>
      <c r="Y2583" s="1"/>
      <c r="AA2583" s="313"/>
      <c r="AB2583" s="1"/>
    </row>
    <row r="2584" spans="2:30" x14ac:dyDescent="0.35">
      <c r="B2584" s="83" t="s">
        <v>6016</v>
      </c>
      <c r="D2584" s="155"/>
      <c r="H2584" s="155"/>
      <c r="I2584" s="17"/>
      <c r="J2584" s="17"/>
      <c r="K2584" s="17"/>
      <c r="L2584" s="170"/>
      <c r="M2584" s="17"/>
      <c r="O2584" s="17"/>
      <c r="P2584" s="17"/>
      <c r="R2584" s="155"/>
      <c r="S2584" s="1"/>
      <c r="U2584" s="73"/>
      <c r="V2584" s="1"/>
      <c r="X2584" s="313"/>
      <c r="Y2584" s="1"/>
      <c r="AA2584" s="313"/>
      <c r="AB2584" s="1"/>
    </row>
    <row r="2585" spans="2:30" x14ac:dyDescent="0.35">
      <c r="B2585" s="152"/>
      <c r="D2585" s="155" t="s">
        <v>6017</v>
      </c>
      <c r="H2585" s="155" t="s">
        <v>40</v>
      </c>
      <c r="I2585" s="568">
        <f>I2559/I2560</f>
        <v>5</v>
      </c>
      <c r="J2585" s="568">
        <f>J2559/J2560</f>
        <v>3</v>
      </c>
      <c r="K2585" s="568">
        <f>K2559/K2560</f>
        <v>7.0533333333333337</v>
      </c>
      <c r="M2585" s="568">
        <f>M2559/M2560</f>
        <v>2</v>
      </c>
      <c r="O2585" s="568">
        <f>O2559/O2560</f>
        <v>12</v>
      </c>
      <c r="P2585" s="568">
        <f>P2559/P2560</f>
        <v>4.083333333333333</v>
      </c>
      <c r="R2585" s="155"/>
      <c r="S2585" s="170"/>
      <c r="T2585" s="155"/>
      <c r="U2585" s="1"/>
      <c r="W2585" s="73"/>
      <c r="X2585" s="1"/>
      <c r="Z2585" s="313"/>
      <c r="AA2585" s="1"/>
      <c r="AC2585" s="313"/>
      <c r="AD2585" s="1"/>
    </row>
    <row r="2586" spans="2:30" ht="16.5" x14ac:dyDescent="0.45">
      <c r="B2586" s="152"/>
      <c r="D2586" s="155" t="s">
        <v>6027</v>
      </c>
      <c r="G2586" t="s">
        <v>6222</v>
      </c>
      <c r="H2586" s="155" t="s">
        <v>4</v>
      </c>
      <c r="I2586" s="567">
        <f>I2558*I2588</f>
        <v>304.98049999999995</v>
      </c>
      <c r="J2586" s="567">
        <f>J2558*J2588</f>
        <v>300</v>
      </c>
      <c r="K2586" s="567">
        <f>K2558*K2588</f>
        <v>300</v>
      </c>
      <c r="M2586" s="567">
        <f>M2558*M2588</f>
        <v>200</v>
      </c>
      <c r="O2586" s="567">
        <f>O2558*O2588</f>
        <v>300</v>
      </c>
      <c r="P2586" s="567">
        <f>P2558*P2588</f>
        <v>300</v>
      </c>
      <c r="R2586" s="155"/>
      <c r="S2586" s="170"/>
      <c r="T2586" s="155"/>
      <c r="U2586" s="1"/>
      <c r="W2586" s="73"/>
      <c r="X2586" s="1"/>
      <c r="Z2586" s="313"/>
      <c r="AA2586" s="1"/>
      <c r="AC2586" s="313"/>
      <c r="AD2586" s="1"/>
    </row>
    <row r="2587" spans="2:30" ht="16.5" x14ac:dyDescent="0.45">
      <c r="D2587" s="155" t="s">
        <v>6028</v>
      </c>
      <c r="G2587" t="s">
        <v>6292</v>
      </c>
      <c r="H2587" s="155" t="s">
        <v>4</v>
      </c>
      <c r="I2587" s="162">
        <f>I2560*I2559</f>
        <v>304.98049999999995</v>
      </c>
      <c r="J2587" s="162">
        <f>J2560*J2559</f>
        <v>300</v>
      </c>
      <c r="K2587" s="162">
        <f>K2560*K2559</f>
        <v>300</v>
      </c>
      <c r="M2587" s="162">
        <f>M2560*M2559</f>
        <v>200</v>
      </c>
      <c r="O2587" s="162">
        <f>O2560*O2559</f>
        <v>300</v>
      </c>
      <c r="P2587" s="162">
        <f>P2560*P2559</f>
        <v>300</v>
      </c>
      <c r="R2587" s="155"/>
      <c r="S2587" s="170"/>
      <c r="T2587" s="155"/>
      <c r="U2587" s="1"/>
      <c r="W2587" s="73"/>
      <c r="X2587" s="1"/>
      <c r="Z2587" s="313"/>
      <c r="AA2587" s="1"/>
      <c r="AC2587" s="313"/>
      <c r="AD2587" s="1"/>
    </row>
    <row r="2588" spans="2:30" ht="16.5" x14ac:dyDescent="0.45">
      <c r="B2588" s="152"/>
      <c r="D2588" s="155" t="s">
        <v>6268</v>
      </c>
      <c r="G2588" t="s">
        <v>6267</v>
      </c>
      <c r="H2588" s="155" t="s">
        <v>5</v>
      </c>
      <c r="I2588" s="220">
        <f>I2587/I2558</f>
        <v>6.3537604166666659</v>
      </c>
      <c r="J2588" s="220">
        <f t="shared" ref="J2588:K2588" si="105">J2587/J2558</f>
        <v>6.25</v>
      </c>
      <c r="K2588" s="220">
        <f t="shared" si="105"/>
        <v>6.25</v>
      </c>
      <c r="M2588" s="220">
        <f t="shared" ref="M2588" si="106">M2587/M2558</f>
        <v>8</v>
      </c>
      <c r="O2588" s="220">
        <f t="shared" ref="O2588:P2588" si="107">O2587/O2558</f>
        <v>4</v>
      </c>
      <c r="P2588" s="220">
        <f t="shared" si="107"/>
        <v>4</v>
      </c>
      <c r="R2588" s="155"/>
      <c r="S2588" s="170"/>
      <c r="T2588" s="155"/>
      <c r="U2588" s="1"/>
      <c r="W2588" s="73"/>
      <c r="X2588" s="1"/>
      <c r="Z2588" s="313"/>
      <c r="AA2588" s="1"/>
      <c r="AC2588" s="313"/>
      <c r="AD2588" s="1"/>
    </row>
    <row r="2589" spans="2:30" ht="16.5" x14ac:dyDescent="0.45">
      <c r="B2589" s="152"/>
      <c r="D2589" s="155" t="s">
        <v>6013</v>
      </c>
      <c r="G2589" t="s">
        <v>6036</v>
      </c>
      <c r="H2589" s="155" t="s">
        <v>5</v>
      </c>
      <c r="I2589" s="12">
        <f>(I2587/I2558)/I2581</f>
        <v>7.81</v>
      </c>
      <c r="J2589" s="12">
        <f>(J2587/J2558)/J2581</f>
        <v>10</v>
      </c>
      <c r="K2589" s="12">
        <f>(K2587/K2558)/K2581</f>
        <v>6.5217391304347823</v>
      </c>
      <c r="M2589" s="12">
        <f>(M2587/M2558)/M2581</f>
        <v>10</v>
      </c>
      <c r="O2589" s="12">
        <f>(O2587/O2558)/O2581</f>
        <v>5</v>
      </c>
      <c r="P2589" s="12">
        <f>(P2587/P2558)/P2581</f>
        <v>8.5714285714285712</v>
      </c>
      <c r="R2589" s="155"/>
      <c r="S2589" s="170"/>
      <c r="T2589" s="155"/>
      <c r="U2589" s="1"/>
      <c r="W2589" s="73"/>
      <c r="X2589" s="1"/>
      <c r="Z2589" s="313"/>
      <c r="AA2589" s="1"/>
      <c r="AC2589" s="313"/>
      <c r="AD2589" s="1"/>
    </row>
    <row r="2590" spans="2:30" ht="16.5" x14ac:dyDescent="0.45">
      <c r="B2590" s="152"/>
      <c r="D2590" s="155" t="s">
        <v>6012</v>
      </c>
      <c r="G2590" t="s">
        <v>6037</v>
      </c>
      <c r="H2590" s="155" t="s">
        <v>5</v>
      </c>
      <c r="I2590" s="570">
        <f>I2589</f>
        <v>7.81</v>
      </c>
      <c r="J2590" s="570">
        <f>J2589</f>
        <v>10</v>
      </c>
      <c r="K2590" s="570">
        <f>K2589</f>
        <v>6.5217391304347823</v>
      </c>
      <c r="M2590" s="570">
        <f>M2589</f>
        <v>10</v>
      </c>
      <c r="O2590" s="570">
        <f>O2589</f>
        <v>5</v>
      </c>
      <c r="P2590" s="570">
        <f>P2589</f>
        <v>8.5714285714285712</v>
      </c>
      <c r="R2590" s="155"/>
      <c r="S2590" s="155"/>
      <c r="T2590" s="155"/>
      <c r="U2590" s="1"/>
      <c r="W2590" s="73"/>
      <c r="X2590" s="1"/>
      <c r="Z2590" s="313"/>
      <c r="AA2590" s="1"/>
      <c r="AC2590" s="313"/>
      <c r="AD2590" s="1"/>
    </row>
    <row r="2591" spans="2:30" x14ac:dyDescent="0.35">
      <c r="B2591" s="152"/>
      <c r="D2591" s="155"/>
      <c r="H2591" s="170"/>
      <c r="I2591" s="170"/>
      <c r="J2591" s="170"/>
      <c r="K2591" s="170"/>
      <c r="M2591" s="170"/>
      <c r="O2591" s="170"/>
      <c r="P2591" s="170"/>
      <c r="R2591" s="170"/>
      <c r="S2591" s="170"/>
      <c r="T2591" s="155"/>
      <c r="U2591" s="1"/>
      <c r="W2591" s="73"/>
      <c r="X2591" s="1"/>
      <c r="Z2591" s="313"/>
      <c r="AA2591" s="1"/>
      <c r="AC2591" s="313"/>
      <c r="AD2591" s="1"/>
    </row>
    <row r="2592" spans="2:30" x14ac:dyDescent="0.35">
      <c r="B2592" s="83" t="s">
        <v>6131</v>
      </c>
      <c r="D2592" s="155"/>
      <c r="H2592" s="170"/>
      <c r="I2592" s="170"/>
      <c r="J2592" s="170"/>
      <c r="K2592" s="170"/>
      <c r="M2592" s="170"/>
      <c r="O2592" s="170"/>
      <c r="P2592" s="170"/>
      <c r="R2592" s="170"/>
      <c r="S2592" s="170"/>
      <c r="T2592" s="155"/>
      <c r="U2592" s="1"/>
      <c r="W2592" s="73"/>
      <c r="X2592" s="1"/>
      <c r="Z2592" s="313"/>
      <c r="AA2592" s="1"/>
      <c r="AC2592" s="313"/>
      <c r="AD2592" s="1"/>
    </row>
    <row r="2593" spans="2:30" x14ac:dyDescent="0.35">
      <c r="B2593" s="152"/>
      <c r="D2593" s="155" t="s">
        <v>4141</v>
      </c>
      <c r="H2593" s="155" t="s">
        <v>5</v>
      </c>
      <c r="I2593" s="220">
        <f>(I2561/(2*I2563))*I2559*I2577</f>
        <v>1.0401711309523813</v>
      </c>
      <c r="J2593" s="220">
        <f>(J2561/(2*J2563))*J2559*J2577</f>
        <v>1.6071428571428572</v>
      </c>
      <c r="K2593" s="220">
        <f>(K2561/(2*K2563))*K2559*K2577</f>
        <v>0.38673661555017458</v>
      </c>
      <c r="M2593" s="220">
        <f>(M2561/(2*M2563))*M2559*M2577</f>
        <v>0.28571428571428559</v>
      </c>
      <c r="O2593" s="220">
        <f>(O2561/(2*O2563))*O2559*O2577</f>
        <v>0.85714285714285687</v>
      </c>
      <c r="P2593" s="220">
        <f>(P2561/(2*P2563))*P2559*P2577</f>
        <v>2</v>
      </c>
      <c r="R2593" s="155" t="s">
        <v>6299</v>
      </c>
      <c r="S2593" s="170"/>
      <c r="T2593" s="155"/>
      <c r="U2593" s="1"/>
      <c r="W2593" s="73"/>
      <c r="X2593" s="1"/>
      <c r="Z2593" s="313"/>
      <c r="AA2593" s="1"/>
      <c r="AC2593" s="313"/>
      <c r="AD2593" s="1"/>
    </row>
    <row r="2594" spans="2:30" ht="16.5" x14ac:dyDescent="0.45">
      <c r="B2594" s="152"/>
      <c r="D2594" s="155" t="s">
        <v>6244</v>
      </c>
      <c r="G2594" t="s">
        <v>6252</v>
      </c>
      <c r="H2594" s="155" t="s">
        <v>5</v>
      </c>
      <c r="I2594" s="12">
        <f>(I2561/I2563)*I2559*I2577</f>
        <v>2.0803422619047627</v>
      </c>
      <c r="J2594" s="12">
        <f>(J2561/J2563)*J2559*J2577</f>
        <v>3.2142857142857144</v>
      </c>
      <c r="K2594" s="12">
        <f>(K2561/K2563)*K2559*K2577</f>
        <v>0.77347323110034916</v>
      </c>
      <c r="M2594" s="12">
        <f>(M2561/M2563)*M2559*M2577</f>
        <v>0.57142857142857117</v>
      </c>
      <c r="O2594" s="12">
        <f>(O2561/O2563)*O2559*O2577</f>
        <v>1.7142857142857137</v>
      </c>
      <c r="P2594" s="12">
        <f>(P2561/P2563)*P2559*P2577</f>
        <v>4</v>
      </c>
      <c r="R2594" s="155" t="s">
        <v>6249</v>
      </c>
      <c r="S2594" s="170"/>
      <c r="T2594" s="155"/>
      <c r="U2594" s="1"/>
      <c r="W2594" s="73"/>
      <c r="X2594" s="1"/>
      <c r="Z2594" s="313"/>
      <c r="AA2594" s="1"/>
      <c r="AC2594" s="313"/>
      <c r="AD2594" s="1"/>
    </row>
    <row r="2595" spans="2:30" ht="16.5" x14ac:dyDescent="0.45">
      <c r="B2595" s="152"/>
      <c r="D2595" s="155" t="s">
        <v>6257</v>
      </c>
      <c r="G2595" s="637" t="s">
        <v>6245</v>
      </c>
      <c r="H2595" s="155" t="s">
        <v>199</v>
      </c>
      <c r="I2595" s="15">
        <f>1000*I2594*(I2561/1000)/(2*3.14*I2569)</f>
        <v>50.963798674785956</v>
      </c>
      <c r="J2595" s="15">
        <f t="shared" ref="J2595:K2595" si="108">1000*J2594*(J2561/1000)/(2*3.14*J2569)</f>
        <v>78.742913137817595</v>
      </c>
      <c r="K2595" s="15">
        <f t="shared" si="108"/>
        <v>26.763261026788033</v>
      </c>
      <c r="M2595" s="15">
        <f t="shared" ref="M2595" si="109">1000*M2594*(M2561/1000)/(2*3.14*M2569)</f>
        <v>6.9993700566948949</v>
      </c>
      <c r="O2595" s="15">
        <f t="shared" ref="O2595:P2595" si="110">1000*O2594*(O2561/1000)/(2*3.14*O2569)</f>
        <v>20.998110170084686</v>
      </c>
      <c r="P2595" s="15">
        <f t="shared" si="110"/>
        <v>73.493385595296417</v>
      </c>
      <c r="R2595" s="155" t="s">
        <v>6246</v>
      </c>
      <c r="S2595" s="170"/>
      <c r="T2595" s="155"/>
      <c r="U2595" s="1"/>
      <c r="W2595" s="73"/>
      <c r="X2595" s="1"/>
      <c r="Z2595" s="313"/>
      <c r="AA2595" s="1"/>
      <c r="AC2595" s="313"/>
      <c r="AD2595" s="1"/>
    </row>
    <row r="2596" spans="2:30" ht="16.5" x14ac:dyDescent="0.45">
      <c r="B2596" s="152"/>
      <c r="D2596" s="155" t="s">
        <v>4144</v>
      </c>
      <c r="G2596" t="s">
        <v>6251</v>
      </c>
      <c r="H2596" s="155" t="s">
        <v>5</v>
      </c>
      <c r="I2596" s="12">
        <f>I2560+(I2593)</f>
        <v>8.8501711309523809</v>
      </c>
      <c r="J2596" s="12">
        <f>J2560+(J2593)</f>
        <v>11.607142857142858</v>
      </c>
      <c r="K2596" s="12">
        <f>K2560+(K2593)</f>
        <v>6.9084757459849566</v>
      </c>
      <c r="M2596" s="12">
        <f>M2560+(M2593)</f>
        <v>10.285714285714285</v>
      </c>
      <c r="O2596" s="12">
        <f>O2560+(O2593)</f>
        <v>5.8571428571428568</v>
      </c>
      <c r="P2596" s="12">
        <f>P2560+(P2593)</f>
        <v>10.571428571428571</v>
      </c>
      <c r="R2596" s="155"/>
      <c r="S2596" s="170"/>
      <c r="T2596" s="155"/>
      <c r="U2596" s="1"/>
      <c r="W2596" s="73"/>
      <c r="X2596" s="1"/>
      <c r="Z2596" s="313"/>
      <c r="AA2596" s="1"/>
      <c r="AC2596" s="313"/>
      <c r="AD2596" s="1"/>
    </row>
    <row r="2597" spans="2:30" ht="16.5" x14ac:dyDescent="0.45">
      <c r="B2597" s="152"/>
      <c r="D2597" s="155" t="s">
        <v>4153</v>
      </c>
      <c r="G2597" t="s">
        <v>6250</v>
      </c>
      <c r="H2597" s="155" t="s">
        <v>5</v>
      </c>
      <c r="I2597" s="12">
        <f>I2596-I2594</f>
        <v>6.7698288690476183</v>
      </c>
      <c r="J2597" s="12">
        <f>J2596-J2594</f>
        <v>8.3928571428571423</v>
      </c>
      <c r="K2597" s="12">
        <f>K2596-K2594</f>
        <v>6.1350025148846079</v>
      </c>
      <c r="M2597" s="12">
        <f>M2596-M2594</f>
        <v>9.7142857142857135</v>
      </c>
      <c r="O2597" s="12">
        <f>O2596-O2594</f>
        <v>4.1428571428571432</v>
      </c>
      <c r="P2597" s="12">
        <f>P2596-P2594</f>
        <v>6.5714285714285712</v>
      </c>
      <c r="R2597" s="155"/>
      <c r="S2597" s="170"/>
      <c r="T2597" s="155"/>
      <c r="U2597" s="1"/>
      <c r="W2597" s="73"/>
      <c r="X2597" s="1"/>
      <c r="Z2597" s="313"/>
      <c r="AA2597" s="1"/>
      <c r="AC2597" s="313"/>
      <c r="AD2597" s="1"/>
    </row>
    <row r="2598" spans="2:30" ht="16.5" x14ac:dyDescent="0.45">
      <c r="B2598" s="152"/>
      <c r="D2598" s="155" t="s">
        <v>4154</v>
      </c>
      <c r="G2598" t="s">
        <v>6256</v>
      </c>
      <c r="H2598" s="155" t="s">
        <v>5</v>
      </c>
      <c r="I2598" s="12">
        <f>I2560</f>
        <v>7.81</v>
      </c>
      <c r="J2598" s="12">
        <f>J2560</f>
        <v>10</v>
      </c>
      <c r="K2598" s="12">
        <f>K2560</f>
        <v>6.5217391304347823</v>
      </c>
      <c r="M2598" s="12">
        <f>M2560</f>
        <v>10</v>
      </c>
      <c r="O2598" s="12">
        <f>O2560</f>
        <v>5</v>
      </c>
      <c r="P2598" s="12">
        <f>P2560</f>
        <v>8.5714285714285712</v>
      </c>
      <c r="R2598" s="155"/>
      <c r="S2598" s="170"/>
      <c r="T2598" s="155"/>
      <c r="U2598" s="1"/>
      <c r="W2598" s="73"/>
      <c r="X2598" s="1"/>
      <c r="Z2598" s="313"/>
      <c r="AA2598" s="1"/>
      <c r="AC2598" s="313"/>
      <c r="AD2598" s="1"/>
    </row>
    <row r="2599" spans="2:30" ht="16.5" x14ac:dyDescent="0.45">
      <c r="B2599" s="152"/>
      <c r="D2599" s="155" t="s">
        <v>6254</v>
      </c>
      <c r="G2599" s="155" t="s">
        <v>6255</v>
      </c>
      <c r="H2599" s="155" t="s">
        <v>2179</v>
      </c>
      <c r="I2599" s="335">
        <f>(I2561/2)*(I2559/I2560)*I2577/1000</f>
        <v>1.8645833333333339</v>
      </c>
      <c r="J2599" s="335">
        <f t="shared" ref="J2599:K2599" si="111">(J2561/2)*(J2559/J2560)*J2577/1000</f>
        <v>2.25</v>
      </c>
      <c r="K2599" s="335">
        <f t="shared" si="111"/>
        <v>0.83019460138104151</v>
      </c>
      <c r="M2599" s="335">
        <f t="shared" ref="M2599" si="112">(M2561/2)*(M2559/M2560)*M2577/1000</f>
        <v>0.39999999999999991</v>
      </c>
      <c r="O2599" s="335">
        <f>(O2561/2)*(O2559/O2560)*O2577/1000</f>
        <v>2.3999999999999995</v>
      </c>
      <c r="P2599" s="335">
        <f>(P2561/2)*(P2559/P2560)*P2577/1000</f>
        <v>3.2666666666666666</v>
      </c>
      <c r="R2599" s="155" t="s">
        <v>6253</v>
      </c>
      <c r="S2599" s="170"/>
      <c r="T2599" s="155"/>
      <c r="U2599" s="1"/>
      <c r="W2599" s="73"/>
      <c r="X2599" s="1"/>
      <c r="Z2599" s="313"/>
      <c r="AA2599" s="1"/>
      <c r="AC2599" s="313"/>
      <c r="AD2599" s="1"/>
    </row>
    <row r="2600" spans="2:30" ht="17.5" x14ac:dyDescent="0.45">
      <c r="B2600" s="152"/>
      <c r="D2600" s="155" t="s">
        <v>6039</v>
      </c>
      <c r="G2600" t="s">
        <v>6041</v>
      </c>
      <c r="H2600" s="155" t="s">
        <v>5</v>
      </c>
      <c r="I2600" s="220">
        <f>SQRT(I2560^2 + I2594^2/12)</f>
        <v>7.8330550868667403</v>
      </c>
      <c r="J2600" s="220">
        <f>SQRT(J2560^2 + J2594^2/12)</f>
        <v>10.04295620759919</v>
      </c>
      <c r="K2600" s="220">
        <f>SQRT(K2560^2 + K2594^2/12)</f>
        <v>6.5255602330665807</v>
      </c>
      <c r="M2600" s="220">
        <f>SQRT(M2560^2 + M2594^2/12)</f>
        <v>10.001360451676248</v>
      </c>
      <c r="O2600" s="220">
        <f>SQRT(O2560^2 + O2594^2/12)</f>
        <v>5.0244301128768498</v>
      </c>
      <c r="P2600" s="220">
        <f>SQRT(P2560^2 + P2594^2/12)</f>
        <v>8.6488566347486273</v>
      </c>
      <c r="R2600" t="s">
        <v>6040</v>
      </c>
      <c r="S2600" s="170"/>
      <c r="T2600" s="155"/>
      <c r="U2600" s="1"/>
      <c r="W2600" s="73"/>
      <c r="X2600" s="1"/>
      <c r="Z2600" s="313"/>
      <c r="AA2600" s="1"/>
      <c r="AC2600" s="313"/>
      <c r="AD2600" s="1"/>
    </row>
    <row r="2601" spans="2:30" ht="16.5" x14ac:dyDescent="0.45">
      <c r="B2601" s="152"/>
      <c r="D2601" s="155" t="s">
        <v>6132</v>
      </c>
      <c r="G2601" s="155" t="s">
        <v>6135</v>
      </c>
      <c r="H2601" s="155" t="s">
        <v>5</v>
      </c>
      <c r="I2601" s="220">
        <f>I2560*SQRT((I2558-I2559)*I2559)/I2558</f>
        <v>3.0418082486847347</v>
      </c>
      <c r="J2601" s="220">
        <f>J2560*SQRT((J2558-J2559)*J2559)/J2558</f>
        <v>4.8412291827592711</v>
      </c>
      <c r="K2601" s="220">
        <f>K2560*SQRT((K2558-K2559)*K2559)/K2558</f>
        <v>1.303215087856717</v>
      </c>
      <c r="M2601" s="220">
        <f>M2560*SQRT((M2558-M2559)*M2559)/M2558</f>
        <v>4</v>
      </c>
      <c r="O2601" s="220">
        <f>O2560*SQRT((O2558-O2559)*O2559)/O2558</f>
        <v>2</v>
      </c>
      <c r="P2601" s="220">
        <f>P2560*SQRT((P2558-P2559)*P2559)/P2558</f>
        <v>4.2761798705987903</v>
      </c>
      <c r="R2601" s="155" t="s">
        <v>6136</v>
      </c>
      <c r="S2601" s="170"/>
      <c r="T2601" s="155"/>
      <c r="U2601" s="1"/>
      <c r="W2601" s="73"/>
      <c r="X2601" s="1"/>
      <c r="Z2601" s="313"/>
      <c r="AA2601" s="1"/>
      <c r="AC2601" s="313"/>
      <c r="AD2601" s="1"/>
    </row>
    <row r="2602" spans="2:30" ht="16.5" x14ac:dyDescent="0.45">
      <c r="B2602" s="152"/>
      <c r="D2602" s="155" t="s">
        <v>6133</v>
      </c>
      <c r="G2602" s="155" t="s">
        <v>6134</v>
      </c>
      <c r="H2602" s="155" t="s">
        <v>5</v>
      </c>
      <c r="I2602" s="220">
        <f xml:space="preserve"> I2594/ (2*1.73)</f>
        <v>0.60125498898981578</v>
      </c>
      <c r="J2602" s="220">
        <f xml:space="preserve"> J2594/ (2*1.73)</f>
        <v>0.92898431048720076</v>
      </c>
      <c r="K2602" s="220">
        <f xml:space="preserve"> K2594/ (2*1.73)</f>
        <v>0.22354717661859802</v>
      </c>
      <c r="M2602" s="220">
        <f xml:space="preserve"> M2594/ (2*1.73)</f>
        <v>0.1651527663088356</v>
      </c>
      <c r="O2602" s="220">
        <f xml:space="preserve"> O2594/ (2*1.73)</f>
        <v>0.49545829892650689</v>
      </c>
      <c r="P2602" s="220">
        <f xml:space="preserve"> P2594/ (2*1.73)</f>
        <v>1.1560693641618498</v>
      </c>
      <c r="R2602" s="155" t="s">
        <v>6137</v>
      </c>
      <c r="S2602" s="170"/>
      <c r="T2602" s="155"/>
      <c r="U2602" s="1"/>
      <c r="W2602" s="73"/>
      <c r="X2602" s="1"/>
      <c r="Z2602" s="313"/>
      <c r="AA2602" s="1"/>
      <c r="AC2602" s="313"/>
      <c r="AD2602" s="1"/>
    </row>
    <row r="2603" spans="2:30" x14ac:dyDescent="0.35">
      <c r="B2603" s="152"/>
      <c r="D2603" s="155"/>
      <c r="H2603" s="155"/>
      <c r="I2603" s="162"/>
      <c r="J2603" s="162"/>
      <c r="K2603" s="162"/>
      <c r="M2603" s="162"/>
      <c r="O2603" s="162"/>
      <c r="P2603" s="162"/>
      <c r="R2603" s="155"/>
      <c r="S2603" s="170"/>
      <c r="T2603" s="155"/>
      <c r="U2603" s="1"/>
      <c r="W2603" s="73"/>
      <c r="X2603" s="1"/>
      <c r="Z2603" s="313"/>
      <c r="AA2603" s="1"/>
      <c r="AC2603" s="313"/>
      <c r="AD2603" s="1"/>
    </row>
    <row r="2604" spans="2:30" x14ac:dyDescent="0.35">
      <c r="B2604" s="83" t="s">
        <v>6067</v>
      </c>
      <c r="D2604" s="155"/>
      <c r="H2604" s="155"/>
      <c r="I2604" s="162"/>
      <c r="J2604" s="162"/>
      <c r="K2604" s="162"/>
      <c r="M2604" s="162"/>
      <c r="O2604" s="162"/>
      <c r="P2604" s="162"/>
      <c r="R2604" s="155"/>
      <c r="S2604" s="170"/>
      <c r="T2604" s="155"/>
      <c r="U2604" s="1"/>
      <c r="W2604" s="73"/>
      <c r="X2604" s="1"/>
      <c r="Z2604" s="313"/>
      <c r="AA2604" s="1"/>
      <c r="AC2604" s="313"/>
      <c r="AD2604" s="1"/>
    </row>
    <row r="2605" spans="2:30" x14ac:dyDescent="0.35">
      <c r="D2605" s="155" t="s">
        <v>6021</v>
      </c>
      <c r="H2605" s="155"/>
      <c r="I2605" s="448" t="s">
        <v>6019</v>
      </c>
      <c r="J2605" s="448" t="s">
        <v>6019</v>
      </c>
      <c r="K2605" s="448" t="s">
        <v>6019</v>
      </c>
      <c r="M2605" s="448" t="s">
        <v>6019</v>
      </c>
      <c r="O2605" s="448" t="s">
        <v>6019</v>
      </c>
      <c r="P2605" s="448" t="s">
        <v>6019</v>
      </c>
      <c r="R2605" s="155"/>
      <c r="S2605" s="170"/>
      <c r="T2605" s="155"/>
      <c r="U2605" s="1"/>
      <c r="W2605" s="73"/>
      <c r="X2605" s="1"/>
      <c r="Z2605" s="313"/>
      <c r="AA2605" s="1"/>
      <c r="AC2605" s="313"/>
      <c r="AD2605" s="1"/>
    </row>
    <row r="2606" spans="2:30" x14ac:dyDescent="0.35">
      <c r="D2606" s="155" t="s">
        <v>6018</v>
      </c>
      <c r="H2606" s="155"/>
      <c r="I2606" s="396" t="s">
        <v>3919</v>
      </c>
      <c r="J2606" s="396" t="s">
        <v>3919</v>
      </c>
      <c r="K2606" s="396" t="s">
        <v>3919</v>
      </c>
      <c r="M2606" s="396" t="s">
        <v>3919</v>
      </c>
      <c r="O2606" s="396" t="s">
        <v>3919</v>
      </c>
      <c r="P2606" s="396" t="s">
        <v>3919</v>
      </c>
      <c r="R2606" s="155"/>
      <c r="S2606" s="170"/>
      <c r="T2606" s="155"/>
      <c r="U2606" s="1"/>
      <c r="W2606" s="73"/>
      <c r="X2606" s="1"/>
      <c r="Z2606" s="313"/>
      <c r="AA2606" s="1"/>
      <c r="AC2606" s="313"/>
      <c r="AD2606" s="1"/>
    </row>
    <row r="2607" spans="2:30" ht="16.5" x14ac:dyDescent="0.45">
      <c r="B2607" s="152"/>
      <c r="D2607" s="155" t="s">
        <v>6049</v>
      </c>
      <c r="G2607" t="s">
        <v>6290</v>
      </c>
      <c r="H2607" t="s">
        <v>6007</v>
      </c>
      <c r="I2607" s="571">
        <f>0.0067</f>
        <v>6.7000000000000002E-3</v>
      </c>
      <c r="J2607" s="571">
        <f>0.0067</f>
        <v>6.7000000000000002E-3</v>
      </c>
      <c r="K2607" s="571">
        <f>0.0067</f>
        <v>6.7000000000000002E-3</v>
      </c>
      <c r="M2607" s="571">
        <f>0.0067</f>
        <v>6.7000000000000002E-3</v>
      </c>
      <c r="O2607" s="571">
        <f>0.0067</f>
        <v>6.7000000000000002E-3</v>
      </c>
      <c r="P2607" s="571">
        <f>0.0067</f>
        <v>6.7000000000000002E-3</v>
      </c>
      <c r="R2607" s="155" t="s">
        <v>6011</v>
      </c>
      <c r="S2607" s="170"/>
      <c r="T2607" s="155"/>
      <c r="U2607" s="1"/>
      <c r="W2607" s="73"/>
      <c r="X2607" s="1"/>
      <c r="Z2607" s="313"/>
      <c r="AA2607" s="1"/>
      <c r="AC2607" s="313"/>
      <c r="AD2607" s="1"/>
    </row>
    <row r="2608" spans="2:30" ht="16.5" x14ac:dyDescent="0.45">
      <c r="B2608" s="152"/>
      <c r="D2608" s="155" t="s">
        <v>6018</v>
      </c>
      <c r="G2608" t="s">
        <v>6291</v>
      </c>
      <c r="H2608" s="155" t="s">
        <v>3919</v>
      </c>
      <c r="I2608" s="571">
        <f>I2607</f>
        <v>6.7000000000000002E-3</v>
      </c>
      <c r="J2608" s="571">
        <f>J2607</f>
        <v>6.7000000000000002E-3</v>
      </c>
      <c r="K2608" s="571">
        <f>K2607</f>
        <v>6.7000000000000002E-3</v>
      </c>
      <c r="M2608" s="571">
        <f>M2607</f>
        <v>6.7000000000000002E-3</v>
      </c>
      <c r="O2608" s="571">
        <f>O2607</f>
        <v>6.7000000000000002E-3</v>
      </c>
      <c r="P2608" s="571">
        <f>P2607</f>
        <v>6.7000000000000002E-3</v>
      </c>
      <c r="R2608" s="155"/>
      <c r="S2608" s="170"/>
      <c r="T2608" s="155"/>
      <c r="U2608" s="1"/>
      <c r="W2608" s="73"/>
      <c r="X2608" s="1"/>
      <c r="Z2608" s="313"/>
      <c r="AA2608" s="1"/>
      <c r="AC2608" s="313"/>
      <c r="AD2608" s="1"/>
    </row>
    <row r="2609" spans="2:30" ht="16.5" x14ac:dyDescent="0.45">
      <c r="B2609" s="152"/>
      <c r="D2609" s="155" t="s">
        <v>6022</v>
      </c>
      <c r="E2609" s="295"/>
      <c r="G2609" t="s">
        <v>6288</v>
      </c>
      <c r="H2609" s="155" t="s">
        <v>6006</v>
      </c>
      <c r="I2609">
        <v>30</v>
      </c>
      <c r="J2609">
        <v>30</v>
      </c>
      <c r="K2609">
        <v>30</v>
      </c>
      <c r="M2609">
        <v>30</v>
      </c>
      <c r="O2609">
        <v>30</v>
      </c>
      <c r="P2609">
        <v>30</v>
      </c>
      <c r="R2609" s="155"/>
      <c r="S2609" s="170"/>
      <c r="T2609" s="155"/>
      <c r="U2609" s="1"/>
      <c r="W2609" s="73"/>
      <c r="X2609" s="1"/>
      <c r="Z2609" s="313"/>
      <c r="AA2609" s="1"/>
      <c r="AC2609" s="313"/>
      <c r="AD2609" s="1"/>
    </row>
    <row r="2610" spans="2:30" ht="16.5" x14ac:dyDescent="0.45">
      <c r="B2610" s="152"/>
      <c r="D2610" s="155" t="s">
        <v>6018</v>
      </c>
      <c r="G2610" t="s">
        <v>6289</v>
      </c>
      <c r="H2610" s="155" t="s">
        <v>3919</v>
      </c>
      <c r="I2610" s="162">
        <f>I2609</f>
        <v>30</v>
      </c>
      <c r="J2610" s="162">
        <f>J2609</f>
        <v>30</v>
      </c>
      <c r="K2610" s="162">
        <f>K2609</f>
        <v>30</v>
      </c>
      <c r="M2610" s="162">
        <f>M2609</f>
        <v>30</v>
      </c>
      <c r="O2610" s="162">
        <f>O2609</f>
        <v>30</v>
      </c>
      <c r="P2610" s="162">
        <f>P2609</f>
        <v>30</v>
      </c>
      <c r="R2610" s="155"/>
      <c r="S2610" s="170"/>
      <c r="T2610" s="155"/>
      <c r="U2610" s="1"/>
      <c r="W2610" s="73"/>
      <c r="X2610" s="1"/>
      <c r="Z2610" s="313"/>
      <c r="AA2610" s="1"/>
      <c r="AC2610" s="313"/>
      <c r="AD2610" s="1"/>
    </row>
    <row r="2611" spans="2:30" ht="16.5" x14ac:dyDescent="0.45">
      <c r="B2611" s="152"/>
      <c r="D2611" s="155" t="s">
        <v>6023</v>
      </c>
      <c r="H2611" s="155" t="s">
        <v>6006</v>
      </c>
      <c r="I2611" s="162">
        <f>9.5+7.3</f>
        <v>16.8</v>
      </c>
      <c r="J2611" s="162">
        <f>9.5+7.3</f>
        <v>16.8</v>
      </c>
      <c r="K2611" s="162">
        <f>9.5+7.3</f>
        <v>16.8</v>
      </c>
      <c r="M2611" s="162">
        <f>9.5+7.3</f>
        <v>16.8</v>
      </c>
      <c r="O2611" s="162">
        <f>9.5+7.3</f>
        <v>16.8</v>
      </c>
      <c r="P2611" s="162">
        <f>9.5+7.3</f>
        <v>16.8</v>
      </c>
      <c r="R2611" s="155"/>
      <c r="S2611" s="170"/>
      <c r="T2611" s="155"/>
      <c r="U2611" s="1"/>
      <c r="W2611" s="73"/>
      <c r="X2611" s="1"/>
      <c r="Z2611" s="313"/>
      <c r="AA2611" s="1"/>
      <c r="AC2611" s="313"/>
      <c r="AD2611" s="1"/>
    </row>
    <row r="2612" spans="2:30" x14ac:dyDescent="0.35">
      <c r="B2612" s="152"/>
      <c r="D2612" s="155" t="s">
        <v>6018</v>
      </c>
      <c r="H2612" s="155" t="s">
        <v>3919</v>
      </c>
      <c r="I2612" s="162">
        <f>I2611</f>
        <v>16.8</v>
      </c>
      <c r="J2612" s="162">
        <f>J2611</f>
        <v>16.8</v>
      </c>
      <c r="K2612" s="162">
        <f>K2611</f>
        <v>16.8</v>
      </c>
      <c r="M2612" s="162">
        <f>M2611</f>
        <v>16.8</v>
      </c>
      <c r="O2612" s="162">
        <f>O2611</f>
        <v>16.8</v>
      </c>
      <c r="P2612" s="162">
        <f>P2611</f>
        <v>16.8</v>
      </c>
      <c r="R2612" s="155"/>
      <c r="S2612" s="170" t="s">
        <v>3112</v>
      </c>
      <c r="T2612" s="155"/>
      <c r="U2612" s="1"/>
      <c r="W2612" s="73"/>
      <c r="X2612" s="1"/>
      <c r="Z2612" s="313"/>
      <c r="AA2612" s="1"/>
      <c r="AC2612" s="313"/>
      <c r="AD2612" s="1"/>
    </row>
    <row r="2613" spans="2:30" ht="16.5" x14ac:dyDescent="0.45">
      <c r="B2613" s="152"/>
      <c r="D2613" s="155" t="s">
        <v>6024</v>
      </c>
      <c r="G2613" t="s">
        <v>6285</v>
      </c>
      <c r="H2613" s="155" t="s">
        <v>232</v>
      </c>
      <c r="I2613" s="162">
        <v>609</v>
      </c>
      <c r="J2613" s="162">
        <v>609</v>
      </c>
      <c r="K2613" s="162">
        <v>609</v>
      </c>
      <c r="M2613" s="162">
        <v>609</v>
      </c>
      <c r="O2613" s="162">
        <v>609</v>
      </c>
      <c r="P2613" s="162">
        <v>609</v>
      </c>
      <c r="R2613" s="155"/>
      <c r="S2613" s="170"/>
      <c r="T2613" s="155"/>
      <c r="U2613" s="1"/>
      <c r="W2613" s="73"/>
      <c r="X2613" s="1"/>
      <c r="Z2613" s="313"/>
      <c r="AA2613" s="1"/>
      <c r="AC2613" s="313"/>
      <c r="AD2613" s="1"/>
    </row>
    <row r="2614" spans="2:30" ht="16.5" x14ac:dyDescent="0.45">
      <c r="B2614" s="152"/>
      <c r="D2614" s="155" t="s">
        <v>6018</v>
      </c>
      <c r="G2614" t="s">
        <v>6286</v>
      </c>
      <c r="H2614" s="155" t="s">
        <v>3919</v>
      </c>
      <c r="I2614" s="162">
        <f>I2613</f>
        <v>609</v>
      </c>
      <c r="J2614" s="162">
        <f>J2613</f>
        <v>609</v>
      </c>
      <c r="K2614" s="162">
        <f>K2613</f>
        <v>609</v>
      </c>
      <c r="M2614" s="162">
        <f>M2613</f>
        <v>609</v>
      </c>
      <c r="O2614" s="162">
        <f>O2613</f>
        <v>609</v>
      </c>
      <c r="P2614" s="162">
        <f>P2613</f>
        <v>609</v>
      </c>
      <c r="R2614" s="155"/>
      <c r="S2614" s="170"/>
      <c r="T2614" s="155"/>
      <c r="U2614" s="1"/>
      <c r="W2614" s="73"/>
      <c r="X2614" s="1"/>
      <c r="Z2614" s="313"/>
      <c r="AA2614" s="1"/>
      <c r="AC2614" s="313"/>
      <c r="AD2614" s="1"/>
    </row>
    <row r="2615" spans="2:30" ht="16.5" x14ac:dyDescent="0.45">
      <c r="B2615" s="152"/>
      <c r="D2615" s="155" t="s">
        <v>6052</v>
      </c>
      <c r="G2615" t="s">
        <v>6054</v>
      </c>
      <c r="H2615" s="155" t="s">
        <v>2747</v>
      </c>
      <c r="I2615" s="335">
        <v>45</v>
      </c>
      <c r="J2615" s="335">
        <v>45</v>
      </c>
      <c r="K2615" s="335">
        <v>45</v>
      </c>
      <c r="M2615" s="335">
        <v>45</v>
      </c>
      <c r="O2615" s="335">
        <v>45</v>
      </c>
      <c r="P2615" s="335">
        <v>45</v>
      </c>
      <c r="R2615" s="155" t="s">
        <v>6119</v>
      </c>
      <c r="S2615" s="170"/>
      <c r="T2615" s="155"/>
      <c r="U2615" s="1"/>
      <c r="W2615" s="73"/>
      <c r="X2615" s="1"/>
      <c r="Z2615" s="313"/>
      <c r="AA2615" s="1"/>
      <c r="AC2615" s="313"/>
      <c r="AD2615" s="1"/>
    </row>
    <row r="2616" spans="2:30" ht="16.5" x14ac:dyDescent="0.45">
      <c r="B2616" s="152"/>
      <c r="D2616" s="155" t="s">
        <v>6053</v>
      </c>
      <c r="G2616" t="s">
        <v>6055</v>
      </c>
      <c r="H2616" s="155" t="s">
        <v>6006</v>
      </c>
      <c r="I2616" s="335">
        <v>68</v>
      </c>
      <c r="J2616" s="335">
        <v>68</v>
      </c>
      <c r="K2616" s="335">
        <v>68</v>
      </c>
      <c r="M2616" s="335">
        <v>68</v>
      </c>
      <c r="O2616" s="335">
        <v>68</v>
      </c>
      <c r="P2616" s="335">
        <v>68</v>
      </c>
      <c r="R2616" s="155"/>
      <c r="S2616" s="170"/>
      <c r="T2616" s="155"/>
      <c r="U2616" s="1"/>
      <c r="W2616" s="73"/>
      <c r="X2616" s="1"/>
      <c r="Z2616" s="313"/>
      <c r="AA2616" s="1"/>
      <c r="AC2616" s="313"/>
      <c r="AD2616" s="1"/>
    </row>
    <row r="2617" spans="2:30" ht="16.5" x14ac:dyDescent="0.45">
      <c r="B2617" s="152"/>
      <c r="D2617" s="155" t="s">
        <v>6120</v>
      </c>
      <c r="G2617" t="s">
        <v>6065</v>
      </c>
      <c r="H2617" s="155" t="s">
        <v>5</v>
      </c>
      <c r="I2617" s="619">
        <f>I2616/I2615</f>
        <v>1.5111111111111111</v>
      </c>
      <c r="J2617" s="619">
        <f>J2616/J2615</f>
        <v>1.5111111111111111</v>
      </c>
      <c r="K2617" s="619">
        <f>K2616/K2615</f>
        <v>1.5111111111111111</v>
      </c>
      <c r="M2617" s="619">
        <f>M2616/M2615</f>
        <v>1.5111111111111111</v>
      </c>
      <c r="O2617" s="619">
        <f>O2616/O2615</f>
        <v>1.5111111111111111</v>
      </c>
      <c r="P2617" s="619">
        <f>P2616/P2615</f>
        <v>1.5111111111111111</v>
      </c>
      <c r="R2617" s="155" t="s">
        <v>6121</v>
      </c>
      <c r="S2617" s="170"/>
      <c r="T2617" s="155"/>
      <c r="U2617" s="1"/>
      <c r="W2617" s="73"/>
      <c r="X2617" s="1"/>
      <c r="Z2617" s="313"/>
      <c r="AA2617" s="1"/>
      <c r="AC2617" s="313"/>
      <c r="AD2617" s="1"/>
    </row>
    <row r="2618" spans="2:30" x14ac:dyDescent="0.35">
      <c r="B2618" s="152"/>
      <c r="D2618" s="155"/>
      <c r="H2618" s="155"/>
      <c r="I2618" s="619"/>
      <c r="J2618" s="619"/>
      <c r="K2618" s="619"/>
      <c r="M2618" s="619"/>
      <c r="O2618" s="619"/>
      <c r="P2618" s="619"/>
      <c r="R2618" s="155"/>
      <c r="S2618" s="170"/>
      <c r="T2618" s="155"/>
      <c r="U2618" s="1"/>
      <c r="W2618" s="73"/>
      <c r="X2618" s="1"/>
      <c r="Z2618" s="313"/>
      <c r="AA2618" s="1"/>
      <c r="AC2618" s="313"/>
      <c r="AD2618" s="1"/>
    </row>
    <row r="2619" spans="2:30" x14ac:dyDescent="0.35">
      <c r="B2619" s="83" t="s">
        <v>6047</v>
      </c>
      <c r="D2619" s="155"/>
      <c r="H2619" s="155"/>
      <c r="I2619" s="162"/>
      <c r="J2619" s="162"/>
      <c r="K2619" s="162"/>
      <c r="M2619" s="162"/>
      <c r="O2619" s="162"/>
      <c r="P2619" s="162"/>
      <c r="R2619" s="155"/>
      <c r="S2619" s="170"/>
      <c r="T2619" s="155"/>
      <c r="U2619" s="1"/>
      <c r="W2619" s="73"/>
      <c r="X2619" s="1"/>
      <c r="Z2619" s="313"/>
      <c r="AA2619" s="1"/>
      <c r="AC2619" s="313"/>
      <c r="AD2619" s="1"/>
    </row>
    <row r="2620" spans="2:30" ht="17.5" x14ac:dyDescent="0.45">
      <c r="D2620" s="155" t="s">
        <v>6058</v>
      </c>
      <c r="G2620" t="s">
        <v>6059</v>
      </c>
      <c r="H2620" s="155" t="s">
        <v>4</v>
      </c>
      <c r="I2620" s="220">
        <f>I2560^2*I2607*I2559/I2558</f>
        <v>0.33247322132291662</v>
      </c>
      <c r="J2620" s="220">
        <f>J2560^2*J2607*J2559/J2558</f>
        <v>0.41875000000000001</v>
      </c>
      <c r="K2620" s="220">
        <f>K2560^2*K2607*K2559/K2558</f>
        <v>0.27309782608695654</v>
      </c>
      <c r="M2620" s="220">
        <f>M2560^2*M2607*M2559/M2558</f>
        <v>0.53600000000000003</v>
      </c>
      <c r="O2620" s="220">
        <f>O2560^2*O2607*O2559/O2558</f>
        <v>0.13400000000000001</v>
      </c>
      <c r="P2620" s="220">
        <f>P2560^2*P2607*P2559/P2558</f>
        <v>0.2297142857142857</v>
      </c>
      <c r="R2620" t="s">
        <v>6061</v>
      </c>
      <c r="S2620" s="170"/>
      <c r="T2620" s="155"/>
      <c r="U2620" s="1"/>
      <c r="V2620" s="155" t="s">
        <v>6020</v>
      </c>
      <c r="W2620" s="73"/>
      <c r="X2620" s="1"/>
      <c r="Z2620" s="313"/>
      <c r="AA2620" s="1"/>
      <c r="AC2620" s="313"/>
      <c r="AD2620" s="1"/>
    </row>
    <row r="2621" spans="2:30" ht="17.5" x14ac:dyDescent="0.45">
      <c r="D2621" s="155" t="s">
        <v>6018</v>
      </c>
      <c r="G2621" s="7" t="s">
        <v>6060</v>
      </c>
      <c r="H2621" s="573" t="s">
        <v>4</v>
      </c>
      <c r="I2621" s="562">
        <f>I2560^2*I2608*(1-I2559/I2558)</f>
        <v>7.6200648677083344E-2</v>
      </c>
      <c r="J2621" s="562">
        <f>J2560^2*J2608*(1-J2559/J2558)</f>
        <v>0.25125000000000003</v>
      </c>
      <c r="K2621" s="562">
        <f>K2560^2*K2608*(1-K2559/K2558)</f>
        <v>1.1873818525519839E-2</v>
      </c>
      <c r="M2621" s="562">
        <f>M2560^2*M2608*(1-M2559/M2558)</f>
        <v>0.13399999999999998</v>
      </c>
      <c r="O2621" s="562">
        <f>O2560^2*O2608*(1-O2559/O2558)</f>
        <v>3.3499999999999995E-2</v>
      </c>
      <c r="P2621" s="562">
        <f>P2560^2*P2608*(1-P2559/P2558)</f>
        <v>0.26253061224489793</v>
      </c>
      <c r="R2621" t="s">
        <v>6062</v>
      </c>
      <c r="S2621" s="170"/>
      <c r="T2621" s="155"/>
      <c r="U2621" s="1"/>
      <c r="W2621" s="73"/>
      <c r="X2621" s="1"/>
      <c r="Z2621" s="313"/>
      <c r="AA2621" s="1"/>
      <c r="AC2621" s="313"/>
      <c r="AD2621" s="1"/>
    </row>
    <row r="2622" spans="2:30" x14ac:dyDescent="0.35">
      <c r="B2622" s="152"/>
      <c r="D2622" s="155"/>
      <c r="H2622" s="155"/>
      <c r="I2622" s="569"/>
      <c r="J2622" s="569"/>
      <c r="K2622" s="569"/>
      <c r="M2622" s="569"/>
      <c r="O2622" s="569"/>
      <c r="P2622" s="569"/>
      <c r="R2622" s="155"/>
      <c r="S2622" s="170"/>
      <c r="T2622" s="155"/>
      <c r="U2622" s="1"/>
      <c r="W2622" s="73"/>
      <c r="X2622" s="1"/>
      <c r="Z2622" s="313"/>
      <c r="AA2622" s="1"/>
      <c r="AC2622" s="313"/>
      <c r="AD2622" s="1"/>
    </row>
    <row r="2623" spans="2:30" ht="16.5" x14ac:dyDescent="0.45">
      <c r="B2623" s="152"/>
      <c r="D2623" s="155" t="s">
        <v>6063</v>
      </c>
      <c r="G2623" t="s">
        <v>6048</v>
      </c>
      <c r="H2623" s="155" t="s">
        <v>4</v>
      </c>
      <c r="I2623" s="569">
        <f>0.5*I2558*I2560*(I2655+I2656)/I2561</f>
        <v>0.88565399999999983</v>
      </c>
      <c r="J2623" s="569">
        <f>0.5*J2558*J2560*(J2655+J2656)/J2561</f>
        <v>1.1339999999999999</v>
      </c>
      <c r="K2623" s="569">
        <f>0.5*K2558*K2560*(K2655+K2656)/K2561</f>
        <v>0.52361217391304338</v>
      </c>
      <c r="M2623" s="569">
        <f>0.5*M2558*M2560*(M2655+M2656)/M2561</f>
        <v>1.1812499999999999</v>
      </c>
      <c r="O2623" s="569">
        <f>0.5*O2558*O2560*(N2655+N2656)/O2561</f>
        <v>0</v>
      </c>
      <c r="P2623" s="569">
        <f>0.5*P2558*P2560*(O2655+O2656)/P2561</f>
        <v>2.0249999999999999</v>
      </c>
      <c r="R2623" t="s">
        <v>6109</v>
      </c>
      <c r="S2623" s="170"/>
      <c r="T2623" s="155"/>
      <c r="U2623" s="1"/>
      <c r="W2623" s="73"/>
      <c r="X2623" s="1"/>
      <c r="Z2623" s="313"/>
      <c r="AA2623" s="1"/>
      <c r="AC2623" s="313"/>
      <c r="AD2623" s="1"/>
    </row>
    <row r="2624" spans="2:30" ht="16.5" x14ac:dyDescent="0.45">
      <c r="B2624" s="152"/>
      <c r="D2624" s="155" t="s">
        <v>6064</v>
      </c>
      <c r="G2624" t="s">
        <v>6051</v>
      </c>
      <c r="H2624" s="155" t="s">
        <v>4</v>
      </c>
      <c r="I2624" s="569">
        <f>0.5 *I2664*I2560*(I2658+I2659)/I2561</f>
        <v>1.3296524999999998E-2</v>
      </c>
      <c r="J2624" s="569">
        <f>0.5 *J2664*J2560*(J2658+J2659)/J2561</f>
        <v>1.7024999999999998E-2</v>
      </c>
      <c r="K2624" s="569">
        <f>0.5 *K2664*K2560*(K2658+K2659)/K2561</f>
        <v>7.8611086956521716E-3</v>
      </c>
      <c r="M2624" s="569">
        <f>0.5 *M2664*M2560*(M2658+M2659)/M2561</f>
        <v>3.4049999999999997E-2</v>
      </c>
      <c r="O2624" s="569">
        <f>0.5 *N2664*O2560*(N2658+N2659)/O2561</f>
        <v>0</v>
      </c>
      <c r="P2624" s="569">
        <f>0.5 *O2664*P2560*(O2658+O2659)/P2561</f>
        <v>1.9457142857142857E-2</v>
      </c>
      <c r="R2624" t="s">
        <v>6110</v>
      </c>
      <c r="S2624" s="170"/>
      <c r="T2624" s="155"/>
      <c r="U2624" s="1"/>
      <c r="W2624" s="73"/>
      <c r="X2624" s="1"/>
      <c r="Z2624" s="313"/>
      <c r="AA2624" s="1"/>
      <c r="AC2624" s="313"/>
      <c r="AD2624" s="1"/>
    </row>
    <row r="2625" spans="2:30" x14ac:dyDescent="0.35">
      <c r="B2625" s="152"/>
      <c r="D2625" s="155"/>
      <c r="H2625" s="155"/>
      <c r="I2625" s="569"/>
      <c r="J2625" s="569"/>
      <c r="K2625" s="569"/>
      <c r="M2625" s="569"/>
      <c r="O2625" s="569"/>
      <c r="P2625" s="569"/>
      <c r="S2625" s="170"/>
      <c r="T2625" s="155"/>
      <c r="U2625" s="1"/>
      <c r="W2625" s="73"/>
      <c r="X2625" s="1"/>
      <c r="Z2625" s="313"/>
      <c r="AA2625" s="1"/>
      <c r="AC2625" s="313"/>
      <c r="AD2625" s="1"/>
    </row>
    <row r="2626" spans="2:30" ht="16.5" x14ac:dyDescent="0.45">
      <c r="B2626" s="152"/>
      <c r="D2626" s="155" t="s">
        <v>6056</v>
      </c>
      <c r="G2626" t="s">
        <v>6057</v>
      </c>
      <c r="H2626" s="155" t="s">
        <v>4</v>
      </c>
      <c r="I2626" s="569">
        <f>0.5*I2558*I2617*I2658/I2561</f>
        <v>0.12239999999999999</v>
      </c>
      <c r="J2626" s="569">
        <f>0.5*J2558*J2617*J2658/J2561</f>
        <v>0.12239999999999999</v>
      </c>
      <c r="K2626" s="569">
        <f>0.5*K2558*K2617*K2658/K2561</f>
        <v>8.6659199999999992E-2</v>
      </c>
      <c r="M2626" s="569">
        <f>0.5*M2558*M2617*M2658/M2561</f>
        <v>0.1275</v>
      </c>
      <c r="O2626" s="569">
        <f>0.5*O2558*O2617*N2658/O2561</f>
        <v>0</v>
      </c>
      <c r="P2626" s="569">
        <f>0.5*P2558*P2617*O2658/P2561</f>
        <v>0.255</v>
      </c>
      <c r="R2626" t="s">
        <v>6066</v>
      </c>
      <c r="S2626" s="170"/>
      <c r="T2626" s="155"/>
      <c r="U2626" s="1"/>
      <c r="V2626" s="620" t="s">
        <v>6118</v>
      </c>
      <c r="W2626" s="73"/>
      <c r="X2626" s="1"/>
      <c r="Z2626" s="313"/>
      <c r="AA2626" s="1"/>
      <c r="AC2626" s="313"/>
      <c r="AD2626" s="1"/>
    </row>
    <row r="2627" spans="2:30" x14ac:dyDescent="0.35">
      <c r="B2627" s="152"/>
      <c r="D2627" s="155"/>
      <c r="H2627" s="155"/>
      <c r="I2627" s="155"/>
      <c r="J2627" s="155"/>
      <c r="K2627" s="155"/>
      <c r="M2627" s="155"/>
      <c r="O2627" s="155"/>
      <c r="P2627" s="155"/>
      <c r="R2627" s="1"/>
      <c r="S2627" s="1"/>
      <c r="T2627" s="1"/>
      <c r="U2627" s="1"/>
      <c r="V2627" s="1"/>
      <c r="W2627" s="1"/>
      <c r="X2627" s="1"/>
      <c r="Z2627" s="313"/>
      <c r="AA2627" s="1"/>
      <c r="AC2627" s="313"/>
      <c r="AD2627" s="1"/>
    </row>
    <row r="2628" spans="2:30" ht="17.5" x14ac:dyDescent="0.45">
      <c r="B2628" s="152"/>
      <c r="D2628" s="155" t="s">
        <v>6284</v>
      </c>
      <c r="G2628" t="s">
        <v>6122</v>
      </c>
      <c r="H2628" s="155" t="s">
        <v>4</v>
      </c>
      <c r="I2628" s="413">
        <f>0.5*I2558^2*(I2613+I2614)*0.000000000001*I2578*1000000</f>
        <v>0.35078399999999998</v>
      </c>
      <c r="J2628" s="413">
        <f>0.5*J2558^2*(J2613+J2614)*0.000000000001*J2578*1000000</f>
        <v>0.35078399999999998</v>
      </c>
      <c r="K2628" s="413">
        <f>0.5*K2558^2*(K2613+K2614)*0.000000000001*K2578*1000000</f>
        <v>0.24835507199999995</v>
      </c>
      <c r="M2628" s="413">
        <f>0.5*M2558^2*(M2613+M2614)*0.000000000001*M2578*1000000</f>
        <v>0.1903125</v>
      </c>
      <c r="O2628" s="413">
        <f>0.5*O2558^2*(O2613+O2614)*0.000000000001*O2578*1000000</f>
        <v>1.7128124999999998</v>
      </c>
      <c r="P2628" s="413">
        <f>0.5*P2558^2*(P2613+P2614)*0.000000000001*P2578*1000000</f>
        <v>1.141875</v>
      </c>
      <c r="R2628" t="s">
        <v>6287</v>
      </c>
      <c r="S2628" s="1"/>
      <c r="T2628" s="1"/>
      <c r="U2628" s="1"/>
      <c r="V2628" s="1"/>
      <c r="W2628" s="1"/>
      <c r="X2628" s="1"/>
      <c r="Z2628" s="313"/>
      <c r="AA2628" s="1"/>
      <c r="AC2628" s="313"/>
      <c r="AD2628" s="1"/>
    </row>
    <row r="2629" spans="2:30" x14ac:dyDescent="0.35">
      <c r="B2629" s="152"/>
      <c r="D2629" s="155"/>
      <c r="H2629" s="155"/>
      <c r="I2629" s="413"/>
      <c r="J2629" s="413"/>
      <c r="K2629" s="413"/>
      <c r="M2629" s="413"/>
      <c r="O2629" s="413"/>
      <c r="P2629" s="413"/>
      <c r="S2629" s="1"/>
      <c r="T2629" s="1"/>
      <c r="U2629" s="1"/>
      <c r="V2629" s="1"/>
      <c r="W2629" s="1"/>
      <c r="X2629" s="1"/>
      <c r="Z2629" s="313"/>
      <c r="AA2629" s="1"/>
      <c r="AC2629" s="313"/>
      <c r="AD2629" s="1"/>
    </row>
    <row r="2630" spans="2:30" ht="16.5" x14ac:dyDescent="0.45">
      <c r="B2630" s="152"/>
      <c r="D2630" s="155" t="s">
        <v>6123</v>
      </c>
      <c r="G2630" t="s">
        <v>6124</v>
      </c>
      <c r="H2630" s="155" t="s">
        <v>4</v>
      </c>
      <c r="I2630" s="413">
        <f>I2664*I2560*(I2661+I2662)/I2561</f>
        <v>6.3260999999999998E-2</v>
      </c>
      <c r="J2630" s="413">
        <f>J2664*J2560*(J2661+J2662)/J2561</f>
        <v>8.1000000000000003E-2</v>
      </c>
      <c r="K2630" s="413">
        <f>K2664*K2560*(K2661+K2662)/K2561</f>
        <v>3.7400869565217383E-2</v>
      </c>
      <c r="M2630" s="413">
        <f>M2664*M2560*(M2661+M2662)/M2561</f>
        <v>0.16200000000000001</v>
      </c>
      <c r="O2630" s="413">
        <f>N2664*O2560*(N2661+N2662)/O2561</f>
        <v>0</v>
      </c>
      <c r="P2630" s="413">
        <f>O2664*P2560*(O2661+O2662)/P2561</f>
        <v>9.2571428571428555E-2</v>
      </c>
      <c r="R2630" t="s">
        <v>6125</v>
      </c>
      <c r="S2630" s="1"/>
      <c r="T2630" s="1"/>
      <c r="U2630" s="1"/>
      <c r="V2630" s="1"/>
      <c r="W2630" s="1"/>
      <c r="X2630" s="1"/>
      <c r="Z2630" s="313"/>
      <c r="AA2630" s="1"/>
      <c r="AC2630" s="313"/>
      <c r="AD2630" s="1"/>
    </row>
    <row r="2631" spans="2:30" x14ac:dyDescent="0.35">
      <c r="B2631" s="152"/>
      <c r="D2631" s="155"/>
      <c r="H2631" s="155"/>
      <c r="I2631" s="413"/>
      <c r="J2631" s="413"/>
      <c r="K2631" s="413"/>
      <c r="M2631" s="413"/>
      <c r="O2631" s="413"/>
      <c r="P2631" s="413"/>
      <c r="S2631" s="1"/>
      <c r="T2631" s="1"/>
      <c r="U2631" s="1"/>
      <c r="V2631" s="1"/>
      <c r="W2631" s="1"/>
      <c r="X2631" s="1"/>
      <c r="Z2631" s="313"/>
      <c r="AA2631" s="1"/>
      <c r="AC2631" s="313"/>
      <c r="AD2631" s="1"/>
    </row>
    <row r="2632" spans="2:30" ht="16.5" x14ac:dyDescent="0.45">
      <c r="B2632" s="152"/>
      <c r="D2632" s="155" t="s">
        <v>6143</v>
      </c>
      <c r="G2632" t="s">
        <v>6144</v>
      </c>
      <c r="H2632" s="155" t="s">
        <v>4</v>
      </c>
      <c r="I2632" s="220">
        <f>I2566*(I2609+I2610)*0.000000001*I2578*1000000</f>
        <v>0.15000000000000002</v>
      </c>
      <c r="J2632" s="220">
        <f>J2566*(J2609+J2610)*0.000000001*J2578*1000000</f>
        <v>0.15000000000000002</v>
      </c>
      <c r="K2632" s="220">
        <f>K2566*(K2609+K2610)*0.000000001*K2578*1000000</f>
        <v>0.10620000000000002</v>
      </c>
      <c r="M2632" s="220">
        <f>M2566*(M2609+M2610)*0.000000001*M2578*1000000</f>
        <v>0.30000000000000004</v>
      </c>
      <c r="O2632" s="220">
        <f>O2566*(O2609+O2610)*0.000000001*O2578*1000000</f>
        <v>0.30000000000000004</v>
      </c>
      <c r="P2632" s="220">
        <f>P2566*(P2609+P2610)*0.000000001*P2578*1000000</f>
        <v>0.2</v>
      </c>
      <c r="R2632" s="155" t="s">
        <v>6145</v>
      </c>
      <c r="S2632" s="170"/>
      <c r="T2632" s="155"/>
      <c r="U2632" s="1"/>
      <c r="W2632" s="73"/>
      <c r="X2632" s="1"/>
      <c r="Z2632" s="313"/>
      <c r="AA2632" s="1"/>
      <c r="AC2632" s="313"/>
      <c r="AD2632" s="1"/>
    </row>
    <row r="2633" spans="2:30" x14ac:dyDescent="0.35">
      <c r="B2633" s="152"/>
      <c r="D2633" s="155"/>
      <c r="H2633" s="155"/>
      <c r="I2633" s="155"/>
      <c r="J2633" s="155"/>
      <c r="K2633" s="155"/>
      <c r="M2633" s="155"/>
      <c r="O2633" s="155"/>
      <c r="P2633" s="155"/>
      <c r="R2633" s="1"/>
      <c r="S2633" s="1"/>
      <c r="T2633" s="1"/>
      <c r="U2633" s="1"/>
      <c r="V2633" s="1"/>
      <c r="W2633" s="1"/>
      <c r="X2633" s="1"/>
      <c r="Z2633" s="313"/>
      <c r="AA2633" s="1"/>
      <c r="AC2633" s="313"/>
      <c r="AD2633" s="1"/>
    </row>
    <row r="2634" spans="2:30" ht="17.5" x14ac:dyDescent="0.45">
      <c r="B2634" s="152"/>
      <c r="D2634" s="573" t="s">
        <v>6258</v>
      </c>
      <c r="E2634" s="7"/>
      <c r="F2634" s="7"/>
      <c r="G2634" t="s">
        <v>6126</v>
      </c>
      <c r="H2634" s="573" t="s">
        <v>4</v>
      </c>
      <c r="I2634" s="562">
        <f>I2600^2*I2564</f>
        <v>0.85899452791444486</v>
      </c>
      <c r="J2634" s="562">
        <f>J2600^2*J2564</f>
        <v>1.4120535714285714</v>
      </c>
      <c r="K2634" s="562">
        <f>K2600^2*K2564</f>
        <v>0.5961611089753196</v>
      </c>
      <c r="M2634" s="562">
        <f>M2600^2*M2564</f>
        <v>1.4003809523809523</v>
      </c>
      <c r="O2634" s="562">
        <f>O2600^2*O2564</f>
        <v>0.35342857142857143</v>
      </c>
      <c r="P2634" s="562">
        <f>P2600^2*P2564</f>
        <v>1.0472380952380949</v>
      </c>
      <c r="R2634" t="s">
        <v>6141</v>
      </c>
      <c r="S2634" s="170"/>
      <c r="T2634" s="155"/>
      <c r="U2634" s="1"/>
      <c r="W2634" s="73"/>
      <c r="X2634" s="1"/>
      <c r="Z2634" s="313"/>
      <c r="AA2634" s="1"/>
      <c r="AC2634" s="313"/>
      <c r="AD2634" s="1"/>
    </row>
    <row r="2635" spans="2:30" x14ac:dyDescent="0.35">
      <c r="B2635" s="152"/>
      <c r="D2635" s="573"/>
      <c r="E2635" s="7"/>
      <c r="F2635" s="7"/>
      <c r="H2635" s="573"/>
      <c r="I2635" s="562"/>
      <c r="J2635" s="562"/>
      <c r="K2635" s="562"/>
      <c r="M2635" s="562"/>
      <c r="O2635" s="562"/>
      <c r="P2635" s="562"/>
      <c r="S2635" s="170"/>
      <c r="T2635" s="155"/>
      <c r="U2635" s="1"/>
      <c r="W2635" s="73"/>
      <c r="X2635" s="1"/>
      <c r="Z2635" s="313"/>
      <c r="AA2635" s="1"/>
      <c r="AC2635" s="313"/>
      <c r="AD2635" s="1"/>
    </row>
    <row r="2636" spans="2:30" ht="17.5" x14ac:dyDescent="0.45">
      <c r="B2636" s="152"/>
      <c r="D2636" s="155" t="s">
        <v>6138</v>
      </c>
      <c r="G2636" s="155" t="s">
        <v>6140</v>
      </c>
      <c r="H2636" s="573" t="s">
        <v>4</v>
      </c>
      <c r="I2636" s="391">
        <f t="shared" ref="I2636:K2637" si="113">I2601^2*I2567</f>
        <v>9.2525974217664911E-3</v>
      </c>
      <c r="J2636" s="391">
        <f t="shared" si="113"/>
        <v>2.34375E-2</v>
      </c>
      <c r="K2636" s="391">
        <f t="shared" si="113"/>
        <v>1.6983695652173908E-3</v>
      </c>
      <c r="M2636" s="391">
        <f>M2601^2*M2567</f>
        <v>1.6E-2</v>
      </c>
      <c r="O2636" s="391">
        <f>O2601^2*O2567</f>
        <v>4.0000000000000001E-3</v>
      </c>
      <c r="P2636" s="391">
        <f>P2601^2*P2567</f>
        <v>1.8285714285714287E-2</v>
      </c>
      <c r="R2636" s="155" t="s">
        <v>6261</v>
      </c>
      <c r="S2636" s="170"/>
      <c r="T2636" s="155"/>
      <c r="U2636" s="1"/>
      <c r="W2636" s="73"/>
      <c r="X2636" s="1"/>
      <c r="Z2636" s="313"/>
      <c r="AA2636" s="1"/>
      <c r="AC2636" s="313"/>
      <c r="AD2636" s="1"/>
    </row>
    <row r="2637" spans="2:30" ht="17.5" x14ac:dyDescent="0.45">
      <c r="B2637" s="152"/>
      <c r="D2637" s="155" t="s">
        <v>6139</v>
      </c>
      <c r="G2637" s="155" t="s">
        <v>6142</v>
      </c>
      <c r="H2637" s="573" t="s">
        <v>4</v>
      </c>
      <c r="I2637" s="391">
        <f t="shared" si="113"/>
        <v>2.8920604942811478E-4</v>
      </c>
      <c r="J2637" s="391">
        <f t="shared" si="113"/>
        <v>6.9040947930510386E-4</v>
      </c>
      <c r="K2637" s="391">
        <f t="shared" si="113"/>
        <v>3.997867213931733E-5</v>
      </c>
      <c r="M2637" s="391">
        <f>M2602^2*M2568</f>
        <v>2.1820348975568692E-5</v>
      </c>
      <c r="O2637" s="391">
        <f>O2602^2*O2568</f>
        <v>1.9638314078011831E-4</v>
      </c>
      <c r="P2637" s="391">
        <f>P2602^2*P2568</f>
        <v>1.069197099802867E-3</v>
      </c>
      <c r="R2637" s="155" t="s">
        <v>6262</v>
      </c>
      <c r="S2637" s="170"/>
      <c r="T2637" s="155"/>
      <c r="U2637" s="1"/>
      <c r="W2637" s="73"/>
      <c r="X2637" s="1"/>
      <c r="Z2637" s="313"/>
      <c r="AA2637" s="1"/>
      <c r="AC2637" s="313"/>
      <c r="AD2637" s="1"/>
    </row>
    <row r="2638" spans="2:30" x14ac:dyDescent="0.35">
      <c r="B2638" s="152"/>
      <c r="D2638" s="155"/>
      <c r="G2638" s="155"/>
      <c r="H2638" s="573"/>
      <c r="I2638" s="391"/>
      <c r="J2638" s="391"/>
      <c r="K2638" s="391"/>
      <c r="M2638" s="391"/>
      <c r="O2638" s="391"/>
      <c r="P2638" s="391"/>
      <c r="R2638" s="155"/>
      <c r="S2638" s="170"/>
      <c r="T2638" s="155"/>
      <c r="U2638" s="1"/>
      <c r="W2638" s="73"/>
      <c r="X2638" s="1"/>
      <c r="Z2638" s="313"/>
      <c r="AA2638" s="1"/>
      <c r="AC2638" s="313"/>
      <c r="AD2638" s="1"/>
    </row>
    <row r="2639" spans="2:30" ht="17.5" x14ac:dyDescent="0.45">
      <c r="B2639" s="152"/>
      <c r="D2639" s="573" t="s">
        <v>6259</v>
      </c>
      <c r="E2639" s="7"/>
      <c r="F2639" s="7"/>
      <c r="G2639" t="s">
        <v>6260</v>
      </c>
      <c r="H2639" s="573" t="s">
        <v>4</v>
      </c>
      <c r="I2639" s="640">
        <f>I2588^2*I2565</f>
        <v>9.2851624294520374E-2</v>
      </c>
      <c r="J2639" s="640">
        <f t="shared" ref="J2639:K2639" si="114">J2588^2*J2565</f>
        <v>8.984375E-2</v>
      </c>
      <c r="K2639" s="640">
        <f t="shared" si="114"/>
        <v>8.984375E-2</v>
      </c>
      <c r="M2639" s="640">
        <f t="shared" ref="M2639" si="115">M2588^2*M2565</f>
        <v>0.1472</v>
      </c>
      <c r="O2639" s="640">
        <f>O2588^2*O2565</f>
        <v>3.6799999999999999E-2</v>
      </c>
      <c r="P2639" s="640">
        <f>P2588^2*P2565</f>
        <v>3.6799999999999999E-2</v>
      </c>
      <c r="R2639" t="s">
        <v>6263</v>
      </c>
      <c r="S2639" s="170"/>
      <c r="T2639" s="155"/>
      <c r="U2639" s="1"/>
      <c r="W2639" s="73"/>
      <c r="X2639" s="1"/>
      <c r="Z2639" s="313"/>
      <c r="AA2639" s="1"/>
      <c r="AC2639" s="313"/>
      <c r="AD2639" s="1"/>
    </row>
    <row r="2640" spans="2:30" x14ac:dyDescent="0.35">
      <c r="B2640" s="152"/>
      <c r="D2640" s="573"/>
      <c r="E2640" s="7"/>
      <c r="F2640" s="7"/>
      <c r="H2640" s="573"/>
      <c r="I2640" s="561"/>
      <c r="J2640" s="561"/>
      <c r="K2640" s="561"/>
      <c r="M2640" s="561"/>
      <c r="O2640" s="561"/>
      <c r="P2640" s="561"/>
      <c r="S2640" s="170"/>
      <c r="T2640" s="155"/>
      <c r="U2640" s="1"/>
      <c r="W2640" s="73"/>
      <c r="X2640" s="1"/>
      <c r="Z2640" s="313"/>
      <c r="AA2640" s="1"/>
      <c r="AC2640" s="313"/>
      <c r="AD2640" s="1"/>
    </row>
    <row r="2641" spans="1:30" x14ac:dyDescent="0.35">
      <c r="B2641" s="152"/>
      <c r="D2641" s="621" t="s">
        <v>6282</v>
      </c>
      <c r="H2641" s="573" t="s">
        <v>4</v>
      </c>
      <c r="I2641" s="617">
        <f>SUM(I2620:I2637)</f>
        <v>2.8626057263856395</v>
      </c>
      <c r="J2641" s="617">
        <f>SUM(J2620:J2637)</f>
        <v>3.9613904809078764</v>
      </c>
      <c r="K2641" s="617">
        <f>SUM(K2620:K2637)</f>
        <v>1.8929595259990657</v>
      </c>
      <c r="M2641" s="617">
        <f>SUM(M2620:M2637)</f>
        <v>4.081515272729928</v>
      </c>
      <c r="O2641" s="617">
        <f>SUM(O2620:O2637)</f>
        <v>2.5379374545693518</v>
      </c>
      <c r="P2641" s="617">
        <f>SUM(P2620:P2637)</f>
        <v>5.2927414760113676</v>
      </c>
      <c r="R2641" s="155"/>
      <c r="S2641" s="170"/>
      <c r="T2641" s="155"/>
      <c r="U2641" s="1"/>
      <c r="W2641" s="73"/>
      <c r="X2641" s="1"/>
      <c r="Z2641" s="313"/>
      <c r="AA2641" s="1"/>
      <c r="AC2641" s="313"/>
      <c r="AD2641" s="1"/>
    </row>
    <row r="2642" spans="1:30" x14ac:dyDescent="0.35">
      <c r="B2642" s="152"/>
      <c r="D2642" s="621"/>
      <c r="H2642" s="573"/>
      <c r="I2642" s="617"/>
      <c r="J2642" s="617"/>
      <c r="K2642" s="617"/>
      <c r="M2642" s="617"/>
      <c r="O2642" s="617"/>
      <c r="P2642" s="617"/>
      <c r="R2642" s="155"/>
      <c r="S2642" s="170"/>
      <c r="T2642" s="155"/>
      <c r="U2642" s="1"/>
      <c r="W2642" s="73"/>
      <c r="X2642" s="1"/>
      <c r="Z2642" s="313"/>
      <c r="AA2642" s="1"/>
      <c r="AC2642" s="313"/>
      <c r="AD2642" s="1"/>
    </row>
    <row r="2643" spans="1:30" x14ac:dyDescent="0.35">
      <c r="B2643" s="152"/>
      <c r="D2643" s="621" t="s">
        <v>2487</v>
      </c>
      <c r="H2643" s="155"/>
      <c r="I2643" s="648">
        <f>1-I2641/I2586</f>
        <v>0.99061380735363203</v>
      </c>
      <c r="J2643" s="648">
        <f>1-J2641/J2586</f>
        <v>0.98679536506364041</v>
      </c>
      <c r="K2643" s="648">
        <f>1-K2641/K2586</f>
        <v>0.99369013491333646</v>
      </c>
      <c r="L2643" s="296"/>
      <c r="M2643" s="648">
        <f>1-M2641/M2586</f>
        <v>0.97959242363635035</v>
      </c>
      <c r="N2643" s="296"/>
      <c r="O2643" s="648">
        <f>1-O2641/O2586</f>
        <v>0.99154020848476887</v>
      </c>
      <c r="P2643" s="648">
        <f>1-P2641/P2586</f>
        <v>0.98235752841329549</v>
      </c>
      <c r="R2643" s="155"/>
      <c r="S2643" s="170"/>
      <c r="T2643" s="155"/>
      <c r="U2643" s="1"/>
      <c r="W2643" s="73"/>
      <c r="X2643" s="1"/>
      <c r="Z2643" s="313"/>
      <c r="AA2643" s="1"/>
      <c r="AC2643" s="313"/>
      <c r="AD2643" s="1"/>
    </row>
    <row r="2644" spans="1:30" x14ac:dyDescent="0.35">
      <c r="B2644" s="152"/>
      <c r="D2644" s="643"/>
      <c r="E2644" s="95"/>
      <c r="F2644" s="95"/>
      <c r="G2644" s="95"/>
      <c r="H2644" s="95"/>
      <c r="I2644" s="644"/>
      <c r="J2644" s="644"/>
      <c r="K2644" s="95"/>
      <c r="L2644" s="95"/>
      <c r="M2644" s="95"/>
      <c r="N2644" s="95"/>
      <c r="O2644" s="95"/>
      <c r="P2644" s="509"/>
      <c r="Q2644" s="95"/>
      <c r="R2644" s="507"/>
      <c r="S2644" s="1"/>
      <c r="U2644" s="313"/>
      <c r="V2644" s="1"/>
      <c r="X2644" s="313"/>
      <c r="Y2644" s="1"/>
    </row>
    <row r="2645" spans="1:30" x14ac:dyDescent="0.35">
      <c r="B2645" s="83" t="s">
        <v>3903</v>
      </c>
      <c r="D2645" s="643"/>
      <c r="E2645" s="95"/>
      <c r="F2645" s="95"/>
      <c r="G2645" s="95"/>
      <c r="H2645" s="95"/>
      <c r="I2645" s="644"/>
      <c r="J2645" s="644"/>
      <c r="K2645" s="95"/>
      <c r="L2645" s="95"/>
      <c r="M2645" s="95"/>
      <c r="N2645" s="95"/>
      <c r="O2645" s="95"/>
      <c r="P2645" s="509"/>
      <c r="Q2645" s="95"/>
      <c r="R2645" s="507"/>
      <c r="S2645" s="1"/>
      <c r="U2645" s="313"/>
      <c r="V2645" s="1"/>
      <c r="X2645" s="313"/>
      <c r="Y2645" s="1"/>
    </row>
    <row r="2646" spans="1:30" s="295" customFormat="1" x14ac:dyDescent="0.35">
      <c r="A2646" s="310"/>
      <c r="B2646" s="645"/>
      <c r="D2646" s="621" t="s">
        <v>6305</v>
      </c>
      <c r="E2646" s="352"/>
      <c r="F2646" s="352"/>
      <c r="G2646" s="352"/>
      <c r="H2646" s="352"/>
      <c r="I2646" s="646" t="s">
        <v>6304</v>
      </c>
      <c r="J2646" s="646" t="s">
        <v>6303</v>
      </c>
      <c r="K2646" s="352" t="s">
        <v>6307</v>
      </c>
      <c r="L2646" s="352"/>
      <c r="M2646" s="352" t="s">
        <v>6308</v>
      </c>
      <c r="N2646" s="352"/>
      <c r="O2646" s="352" t="s">
        <v>6309</v>
      </c>
      <c r="P2646" s="652" t="s">
        <v>6310</v>
      </c>
      <c r="Q2646" s="352"/>
      <c r="R2646" s="647"/>
      <c r="S2646" s="334"/>
      <c r="U2646" s="313"/>
      <c r="V2646" s="334"/>
      <c r="X2646" s="313"/>
      <c r="Y2646" s="334"/>
    </row>
    <row r="2647" spans="1:30" ht="16.5" x14ac:dyDescent="0.45">
      <c r="B2647" s="152"/>
      <c r="D2647" s="621" t="s">
        <v>6306</v>
      </c>
      <c r="E2647" s="95"/>
      <c r="F2647" s="95"/>
      <c r="G2647" s="95"/>
      <c r="H2647" s="95"/>
      <c r="I2647" s="648">
        <v>0.98950000000000005</v>
      </c>
      <c r="J2647" s="648">
        <v>0.98799999999999999</v>
      </c>
      <c r="K2647" s="648">
        <v>0.99180000000000001</v>
      </c>
      <c r="L2647" s="95"/>
      <c r="M2647" s="648">
        <v>0.98960000000000004</v>
      </c>
      <c r="N2647" s="95"/>
      <c r="O2647" s="648">
        <v>0.98160000000000003</v>
      </c>
      <c r="P2647" s="648">
        <v>0.9798</v>
      </c>
      <c r="Q2647" s="95"/>
      <c r="R2647" s="507"/>
      <c r="S2647" s="1"/>
      <c r="U2647" s="313"/>
      <c r="V2647" s="1"/>
      <c r="X2647" s="313"/>
      <c r="Y2647" s="1"/>
    </row>
    <row r="2648" spans="1:30" x14ac:dyDescent="0.35">
      <c r="B2648" s="152"/>
      <c r="D2648" s="643"/>
      <c r="E2648" s="95"/>
      <c r="F2648" s="95"/>
      <c r="G2648" s="95"/>
      <c r="H2648" s="95"/>
      <c r="I2648" s="644"/>
      <c r="J2648" s="644"/>
      <c r="K2648" s="95"/>
      <c r="L2648" s="95"/>
      <c r="M2648" s="95"/>
      <c r="N2648" s="95"/>
      <c r="O2648" s="95"/>
      <c r="P2648" s="509"/>
      <c r="Q2648" s="95"/>
      <c r="R2648" s="507"/>
      <c r="S2648" s="1"/>
      <c r="U2648" s="313"/>
      <c r="V2648" s="1"/>
      <c r="X2648" s="313"/>
      <c r="Y2648" s="1"/>
    </row>
    <row r="2649" spans="1:30" x14ac:dyDescent="0.35">
      <c r="B2649" s="83" t="s">
        <v>6156</v>
      </c>
      <c r="D2649" s="155"/>
      <c r="H2649" s="155"/>
      <c r="I2649" s="162"/>
      <c r="J2649" s="162"/>
      <c r="M2649" s="155"/>
      <c r="N2649" s="170"/>
      <c r="O2649" s="155"/>
      <c r="P2649" s="1"/>
      <c r="R2649" s="73"/>
      <c r="S2649" s="1"/>
      <c r="U2649" s="313"/>
      <c r="V2649" s="1"/>
      <c r="X2649" s="313"/>
      <c r="Y2649" s="1"/>
    </row>
    <row r="2650" spans="1:30" x14ac:dyDescent="0.35">
      <c r="D2650" s="155"/>
      <c r="H2650" s="155"/>
      <c r="I2650" s="162"/>
      <c r="J2650" s="162"/>
      <c r="M2650" s="155"/>
      <c r="N2650" s="170"/>
      <c r="O2650" s="155"/>
      <c r="P2650" s="1"/>
      <c r="R2650" s="73"/>
      <c r="S2650" s="1"/>
      <c r="U2650" s="313"/>
      <c r="V2650" s="1"/>
      <c r="X2650" s="313"/>
      <c r="Y2650" s="1"/>
    </row>
    <row r="2651" spans="1:30" x14ac:dyDescent="0.35">
      <c r="D2651" s="155" t="s">
        <v>6030</v>
      </c>
      <c r="H2651" s="155"/>
      <c r="I2651" s="394" t="s">
        <v>6146</v>
      </c>
      <c r="M2651" s="155"/>
      <c r="N2651" s="170"/>
      <c r="O2651" s="155"/>
      <c r="P2651" s="1"/>
      <c r="R2651" s="73"/>
      <c r="S2651" s="1"/>
      <c r="U2651" s="313"/>
      <c r="V2651" s="1"/>
      <c r="X2651" s="313"/>
      <c r="Y2651" s="1"/>
    </row>
    <row r="2652" spans="1:30" x14ac:dyDescent="0.35">
      <c r="D2652" s="155" t="s">
        <v>3951</v>
      </c>
      <c r="H2652" s="155"/>
      <c r="I2652" s="394" t="s">
        <v>6151</v>
      </c>
      <c r="M2652" s="155"/>
      <c r="N2652" s="170"/>
      <c r="O2652" s="155"/>
      <c r="P2652" s="1"/>
      <c r="R2652" s="73"/>
      <c r="S2652" s="1"/>
      <c r="U2652" s="313"/>
      <c r="V2652" s="1"/>
      <c r="X2652" s="313"/>
      <c r="Y2652" s="1"/>
    </row>
    <row r="2653" spans="1:30" x14ac:dyDescent="0.35">
      <c r="D2653" s="155" t="s">
        <v>6031</v>
      </c>
      <c r="H2653" s="155"/>
      <c r="I2653" s="394" t="s">
        <v>6032</v>
      </c>
      <c r="M2653" s="155"/>
      <c r="N2653" s="170"/>
      <c r="O2653" s="155"/>
      <c r="P2653" s="1"/>
      <c r="R2653" s="73"/>
      <c r="S2653" s="1"/>
      <c r="U2653" s="313"/>
      <c r="V2653" s="1"/>
      <c r="X2653" s="313"/>
      <c r="Y2653" s="1"/>
    </row>
    <row r="2654" spans="1:30" x14ac:dyDescent="0.35">
      <c r="D2654" s="155"/>
      <c r="H2654" s="155"/>
      <c r="I2654" s="335"/>
      <c r="M2654" s="155"/>
      <c r="N2654" s="170"/>
      <c r="O2654" s="155"/>
      <c r="P2654" s="1"/>
      <c r="R2654" s="73"/>
      <c r="S2654" s="1"/>
      <c r="U2654" s="313"/>
      <c r="V2654" s="1"/>
      <c r="X2654" s="313"/>
      <c r="Y2654" s="1"/>
    </row>
    <row r="2655" spans="1:30" ht="16.5" x14ac:dyDescent="0.45">
      <c r="D2655" s="155" t="s">
        <v>6068</v>
      </c>
      <c r="G2655" t="s">
        <v>6045</v>
      </c>
      <c r="H2655" s="155" t="s">
        <v>2747</v>
      </c>
      <c r="I2655" s="622">
        <v>6.2</v>
      </c>
      <c r="J2655" s="622">
        <v>6.2</v>
      </c>
      <c r="K2655" s="622">
        <v>6.2</v>
      </c>
      <c r="M2655" s="622">
        <v>6.2</v>
      </c>
      <c r="N2655" s="170"/>
      <c r="O2655" s="622">
        <v>6.2</v>
      </c>
      <c r="P2655" s="622">
        <v>6.2</v>
      </c>
      <c r="R2655" s="73"/>
      <c r="S2655" s="1"/>
      <c r="U2655" s="313"/>
      <c r="V2655" s="1"/>
      <c r="X2655" s="313"/>
      <c r="Y2655" s="1"/>
    </row>
    <row r="2656" spans="1:30" ht="16.5" x14ac:dyDescent="0.45">
      <c r="D2656" s="155" t="s">
        <v>6069</v>
      </c>
      <c r="G2656" t="s">
        <v>6046</v>
      </c>
      <c r="H2656" s="155" t="s">
        <v>2747</v>
      </c>
      <c r="I2656" s="622">
        <v>12.7</v>
      </c>
      <c r="J2656" s="622">
        <v>12.7</v>
      </c>
      <c r="K2656" s="622">
        <v>12.7</v>
      </c>
      <c r="M2656" s="622">
        <v>12.7</v>
      </c>
      <c r="N2656" s="170"/>
      <c r="O2656" s="622">
        <v>12.7</v>
      </c>
      <c r="P2656" s="622">
        <v>12.7</v>
      </c>
      <c r="R2656" s="73"/>
      <c r="S2656" s="1"/>
      <c r="U2656" s="313"/>
      <c r="V2656" s="1"/>
      <c r="X2656" s="313"/>
      <c r="Y2656" s="1"/>
    </row>
    <row r="2657" spans="2:25" x14ac:dyDescent="0.35">
      <c r="N2657" s="170"/>
      <c r="R2657" s="73"/>
      <c r="S2657" s="1"/>
      <c r="U2657" s="313"/>
      <c r="V2657" s="1"/>
      <c r="X2657" s="313"/>
      <c r="Y2657" s="1"/>
    </row>
    <row r="2658" spans="2:25" ht="16.5" x14ac:dyDescent="0.45">
      <c r="D2658" s="618" t="s">
        <v>6070</v>
      </c>
      <c r="E2658" s="2"/>
      <c r="F2658" s="2"/>
      <c r="G2658" s="2" t="s">
        <v>6043</v>
      </c>
      <c r="H2658" s="618" t="s">
        <v>2747</v>
      </c>
      <c r="I2658" s="623">
        <v>13.5</v>
      </c>
      <c r="J2658" s="623">
        <v>13.5</v>
      </c>
      <c r="K2658" s="623">
        <v>13.5</v>
      </c>
      <c r="M2658" s="623">
        <v>13.5</v>
      </c>
      <c r="N2658" s="170"/>
      <c r="O2658" s="623">
        <v>13.5</v>
      </c>
      <c r="P2658" s="623">
        <v>13.5</v>
      </c>
      <c r="R2658" s="73"/>
      <c r="S2658" s="1"/>
      <c r="U2658" s="313"/>
      <c r="V2658" s="1"/>
      <c r="X2658" s="313"/>
      <c r="Y2658" s="1"/>
    </row>
    <row r="2659" spans="2:25" ht="16.5" x14ac:dyDescent="0.45">
      <c r="D2659" s="618" t="s">
        <v>6071</v>
      </c>
      <c r="E2659" s="2"/>
      <c r="F2659" s="2"/>
      <c r="G2659" s="2" t="s">
        <v>6044</v>
      </c>
      <c r="H2659" s="618" t="s">
        <v>2747</v>
      </c>
      <c r="I2659" s="623">
        <v>9.1999999999999993</v>
      </c>
      <c r="J2659" s="623">
        <v>9.1999999999999993</v>
      </c>
      <c r="K2659" s="623">
        <v>9.1999999999999993</v>
      </c>
      <c r="M2659" s="623">
        <v>9.1999999999999993</v>
      </c>
      <c r="N2659" s="170"/>
      <c r="O2659" s="623">
        <v>9.1999999999999993</v>
      </c>
      <c r="P2659" s="623">
        <v>9.1999999999999993</v>
      </c>
      <c r="R2659" s="73"/>
      <c r="S2659" s="1"/>
      <c r="U2659" s="313"/>
      <c r="V2659" s="1"/>
      <c r="X2659" s="313"/>
      <c r="Y2659" s="1"/>
    </row>
    <row r="2660" spans="2:25" x14ac:dyDescent="0.35">
      <c r="D2660" s="2"/>
      <c r="E2660" s="2"/>
      <c r="F2660" s="2"/>
      <c r="G2660" s="2"/>
      <c r="H2660" s="2"/>
      <c r="I2660" s="90"/>
      <c r="J2660" s="90"/>
      <c r="K2660" s="90"/>
      <c r="M2660" s="90"/>
      <c r="N2660" s="170"/>
      <c r="O2660" s="90"/>
      <c r="P2660" s="90"/>
      <c r="R2660" s="73"/>
      <c r="S2660" s="1"/>
      <c r="U2660" s="313"/>
      <c r="V2660" s="1"/>
      <c r="X2660" s="313"/>
      <c r="Y2660" s="1"/>
    </row>
    <row r="2661" spans="2:25" ht="16.5" x14ac:dyDescent="0.45">
      <c r="D2661" s="618" t="s">
        <v>6074</v>
      </c>
      <c r="E2661" s="2"/>
      <c r="F2661" s="2"/>
      <c r="G2661" s="2" t="s">
        <v>6073</v>
      </c>
      <c r="H2661" s="618" t="s">
        <v>2747</v>
      </c>
      <c r="I2661" s="623">
        <v>32</v>
      </c>
      <c r="J2661" s="623">
        <v>32</v>
      </c>
      <c r="K2661" s="623">
        <v>32</v>
      </c>
      <c r="M2661" s="623">
        <v>32</v>
      </c>
      <c r="N2661" s="170"/>
      <c r="O2661" s="623">
        <v>32</v>
      </c>
      <c r="P2661" s="623">
        <v>32</v>
      </c>
      <c r="R2661" s="73"/>
      <c r="S2661" s="1"/>
      <c r="U2661" s="313"/>
      <c r="V2661" s="1"/>
      <c r="X2661" s="313"/>
      <c r="Y2661" s="1"/>
    </row>
    <row r="2662" spans="2:25" ht="16.5" x14ac:dyDescent="0.45">
      <c r="D2662" s="618" t="s">
        <v>6075</v>
      </c>
      <c r="E2662" s="2"/>
      <c r="F2662" s="2"/>
      <c r="G2662" s="2" t="s">
        <v>6072</v>
      </c>
      <c r="H2662" s="618" t="s">
        <v>2747</v>
      </c>
      <c r="I2662" s="623">
        <v>22</v>
      </c>
      <c r="J2662" s="623">
        <v>22</v>
      </c>
      <c r="K2662" s="623">
        <v>22</v>
      </c>
      <c r="M2662" s="623">
        <v>22</v>
      </c>
      <c r="N2662" s="170"/>
      <c r="O2662" s="623">
        <v>22</v>
      </c>
      <c r="P2662" s="623">
        <v>22</v>
      </c>
      <c r="R2662" s="73"/>
      <c r="S2662" s="1"/>
      <c r="U2662" s="313"/>
      <c r="V2662" s="1"/>
      <c r="X2662" s="313"/>
      <c r="Y2662" s="1"/>
    </row>
    <row r="2663" spans="2:25" x14ac:dyDescent="0.35">
      <c r="D2663" s="618"/>
      <c r="E2663" s="2"/>
      <c r="F2663" s="2"/>
      <c r="G2663" s="2"/>
      <c r="H2663" s="618"/>
      <c r="I2663" s="623"/>
      <c r="J2663" s="623"/>
      <c r="K2663" s="623"/>
      <c r="M2663" s="623"/>
      <c r="N2663" s="170"/>
      <c r="O2663" s="623"/>
      <c r="P2663" s="623"/>
      <c r="R2663" s="73"/>
      <c r="S2663" s="1"/>
      <c r="U2663" s="313"/>
      <c r="V2663" s="1"/>
      <c r="X2663" s="313"/>
      <c r="Y2663" s="1"/>
    </row>
    <row r="2664" spans="2:25" ht="16.5" x14ac:dyDescent="0.45">
      <c r="D2664" s="618" t="s">
        <v>6152</v>
      </c>
      <c r="E2664" s="2"/>
      <c r="F2664" s="2"/>
      <c r="G2664" t="s">
        <v>6050</v>
      </c>
      <c r="H2664" s="618" t="s">
        <v>2</v>
      </c>
      <c r="I2664" s="623">
        <v>0.6</v>
      </c>
      <c r="J2664" s="623">
        <v>0.6</v>
      </c>
      <c r="K2664" s="623">
        <v>0.6</v>
      </c>
      <c r="M2664" s="623">
        <v>0.6</v>
      </c>
      <c r="N2664" s="170"/>
      <c r="O2664" s="623">
        <v>0.6</v>
      </c>
      <c r="P2664" s="623">
        <v>0.6</v>
      </c>
      <c r="R2664" s="73"/>
      <c r="S2664" s="1"/>
      <c r="U2664" s="313"/>
      <c r="V2664" s="1"/>
      <c r="X2664" s="313"/>
      <c r="Y2664" s="1"/>
    </row>
    <row r="2665" spans="2:25" x14ac:dyDescent="0.35">
      <c r="D2665" s="618"/>
      <c r="E2665" s="2"/>
      <c r="F2665" s="2"/>
      <c r="H2665" s="618"/>
      <c r="I2665" s="623"/>
      <c r="J2665" s="623"/>
      <c r="K2665" s="623"/>
      <c r="M2665" s="623"/>
      <c r="N2665" s="170"/>
      <c r="O2665" s="623"/>
      <c r="P2665" s="623"/>
      <c r="R2665" s="73"/>
      <c r="S2665" s="1"/>
      <c r="U2665" s="313"/>
      <c r="V2665" s="1"/>
      <c r="X2665" s="313"/>
      <c r="Y2665" s="1"/>
    </row>
    <row r="2666" spans="2:25" x14ac:dyDescent="0.35">
      <c r="D2666" s="155" t="s">
        <v>6302</v>
      </c>
      <c r="H2666" t="s">
        <v>5</v>
      </c>
      <c r="I2666" s="236">
        <v>2.8</v>
      </c>
      <c r="J2666" s="623"/>
      <c r="K2666" s="623"/>
      <c r="M2666" s="623"/>
      <c r="N2666" s="170"/>
      <c r="O2666" s="623"/>
      <c r="P2666" s="623"/>
      <c r="R2666" s="73"/>
      <c r="S2666" s="1"/>
      <c r="U2666" s="313"/>
      <c r="V2666" s="1"/>
      <c r="X2666" s="313"/>
      <c r="Y2666" s="1"/>
    </row>
    <row r="2667" spans="2:25" x14ac:dyDescent="0.35">
      <c r="E2667" t="s">
        <v>6301</v>
      </c>
      <c r="H2667" t="s">
        <v>5</v>
      </c>
      <c r="I2667" s="236">
        <v>1.6</v>
      </c>
      <c r="J2667" s="623"/>
      <c r="K2667" s="623"/>
      <c r="M2667" s="623"/>
      <c r="N2667" s="170"/>
      <c r="O2667" s="623"/>
      <c r="P2667" s="623"/>
      <c r="R2667" s="73"/>
      <c r="S2667" s="1"/>
      <c r="U2667" s="313"/>
      <c r="V2667" s="1"/>
      <c r="X2667" s="313"/>
      <c r="Y2667" s="1"/>
    </row>
    <row r="2668" spans="2:25" x14ac:dyDescent="0.35">
      <c r="B2668" s="152"/>
      <c r="D2668" s="155"/>
      <c r="H2668" s="155"/>
      <c r="I2668" s="15"/>
      <c r="K2668" s="155"/>
      <c r="L2668" s="170"/>
      <c r="M2668" s="155"/>
      <c r="N2668" s="1"/>
      <c r="P2668" s="73"/>
      <c r="Q2668" s="1"/>
      <c r="S2668" s="313"/>
      <c r="T2668" s="1"/>
      <c r="V2668" s="313"/>
      <c r="W2668" s="1"/>
    </row>
    <row r="2669" spans="2:25" x14ac:dyDescent="0.35">
      <c r="B2669" s="83" t="s">
        <v>6271</v>
      </c>
      <c r="D2669" s="155"/>
      <c r="H2669" s="155"/>
      <c r="I2669" s="220"/>
      <c r="K2669" s="155"/>
      <c r="L2669" s="170"/>
      <c r="M2669" s="155"/>
      <c r="N2669" s="1"/>
      <c r="P2669" s="73"/>
      <c r="Q2669" s="1"/>
      <c r="S2669" s="313"/>
      <c r="T2669" s="1"/>
      <c r="V2669" s="313"/>
      <c r="W2669" s="1"/>
    </row>
    <row r="2670" spans="2:25" x14ac:dyDescent="0.35">
      <c r="D2670" s="155"/>
      <c r="H2670" s="155"/>
      <c r="I2670" s="220"/>
      <c r="K2670" s="155"/>
      <c r="L2670" s="170"/>
      <c r="M2670" s="155"/>
      <c r="N2670" s="1"/>
      <c r="P2670" s="73"/>
      <c r="Q2670" s="1"/>
      <c r="S2670" s="313"/>
      <c r="T2670" s="1"/>
      <c r="V2670" s="313"/>
      <c r="W2670" s="1"/>
    </row>
    <row r="2671" spans="2:25" x14ac:dyDescent="0.35">
      <c r="D2671" s="155" t="s">
        <v>6273</v>
      </c>
      <c r="H2671" s="573"/>
      <c r="I2671" s="624">
        <v>1.01</v>
      </c>
      <c r="K2671" s="155"/>
      <c r="L2671" s="170"/>
      <c r="M2671" s="155"/>
      <c r="N2671" s="1"/>
      <c r="P2671" s="73"/>
      <c r="Q2671" s="1"/>
      <c r="S2671" s="313"/>
      <c r="T2671" s="1"/>
      <c r="V2671" s="313"/>
      <c r="W2671" s="1"/>
    </row>
    <row r="2672" spans="2:25" x14ac:dyDescent="0.35">
      <c r="D2672" s="155" t="s">
        <v>6149</v>
      </c>
      <c r="H2672" s="232"/>
      <c r="I2672" s="625">
        <v>0.38</v>
      </c>
      <c r="K2672" s="155"/>
      <c r="L2672" s="170"/>
      <c r="M2672" s="155"/>
      <c r="N2672" s="1"/>
      <c r="P2672" s="73"/>
      <c r="Q2672" s="1"/>
      <c r="S2672" s="313"/>
      <c r="T2672" s="1"/>
      <c r="V2672" s="313"/>
      <c r="W2672" s="1"/>
    </row>
    <row r="2673" spans="4:23" x14ac:dyDescent="0.35">
      <c r="D2673" s="155"/>
      <c r="E2673" t="s">
        <v>6274</v>
      </c>
      <c r="H2673" s="155"/>
      <c r="I2673" s="220">
        <f>SUM(I2671:I2672)</f>
        <v>1.3900000000000001</v>
      </c>
      <c r="K2673" s="155"/>
      <c r="L2673" s="170"/>
      <c r="M2673" s="155"/>
      <c r="N2673" s="1"/>
      <c r="P2673" s="73"/>
      <c r="Q2673" s="1"/>
      <c r="S2673" s="313"/>
      <c r="T2673" s="1"/>
      <c r="V2673" s="313"/>
      <c r="W2673" s="1"/>
    </row>
    <row r="2674" spans="4:23" x14ac:dyDescent="0.35">
      <c r="D2674" s="155"/>
      <c r="E2674" t="s">
        <v>6147</v>
      </c>
      <c r="H2674" s="295" t="s">
        <v>6272</v>
      </c>
      <c r="I2674" s="220">
        <f>SUM(I2620:I2630)</f>
        <v>1.8440693949999998</v>
      </c>
      <c r="K2674" s="155"/>
      <c r="L2674" s="170"/>
      <c r="M2674" s="155"/>
      <c r="N2674" s="1"/>
      <c r="P2674" s="73"/>
      <c r="Q2674" s="1"/>
      <c r="S2674" s="313"/>
      <c r="T2674" s="1"/>
      <c r="V2674" s="313"/>
      <c r="W2674" s="1"/>
    </row>
    <row r="2675" spans="4:23" x14ac:dyDescent="0.35">
      <c r="D2675" s="155"/>
      <c r="H2675" s="155"/>
      <c r="I2675" s="220"/>
      <c r="K2675" s="155"/>
      <c r="L2675" s="170"/>
      <c r="M2675" s="155"/>
      <c r="N2675" s="1"/>
      <c r="P2675" s="73"/>
      <c r="Q2675" s="1"/>
      <c r="S2675" s="313"/>
      <c r="T2675" s="1"/>
      <c r="V2675" s="313"/>
      <c r="W2675" s="1"/>
    </row>
    <row r="2676" spans="4:23" x14ac:dyDescent="0.35">
      <c r="D2676" s="155" t="s">
        <v>6275</v>
      </c>
      <c r="H2676" s="155"/>
      <c r="I2676" s="626">
        <v>4.0000000000000002E-4</v>
      </c>
      <c r="K2676" s="155"/>
      <c r="L2676" s="170"/>
      <c r="M2676" s="155"/>
      <c r="N2676" s="1"/>
      <c r="P2676" s="73"/>
      <c r="Q2676" s="1"/>
      <c r="S2676" s="313"/>
      <c r="T2676" s="1"/>
      <c r="V2676" s="313"/>
      <c r="W2676" s="1"/>
    </row>
    <row r="2677" spans="4:23" x14ac:dyDescent="0.35">
      <c r="D2677" s="155" t="s">
        <v>6276</v>
      </c>
      <c r="H2677" s="155"/>
      <c r="I2677" s="626">
        <v>5.9999999999999995E-4</v>
      </c>
      <c r="V2677" s="313"/>
      <c r="W2677" s="1"/>
    </row>
    <row r="2678" spans="4:23" x14ac:dyDescent="0.35">
      <c r="D2678" s="155" t="s">
        <v>7803</v>
      </c>
      <c r="H2678" s="573"/>
      <c r="I2678" s="624">
        <v>0.42</v>
      </c>
      <c r="V2678" s="313"/>
      <c r="W2678" s="1"/>
    </row>
    <row r="2679" spans="4:23" ht="16.5" x14ac:dyDescent="0.45">
      <c r="D2679" s="155"/>
      <c r="E2679" t="s">
        <v>6148</v>
      </c>
      <c r="H2679" t="s">
        <v>6144</v>
      </c>
      <c r="I2679" s="220">
        <f>I2632</f>
        <v>0.15000000000000002</v>
      </c>
      <c r="U2679" s="73"/>
      <c r="V2679" s="73"/>
      <c r="W2679" s="73"/>
    </row>
    <row r="2680" spans="4:23" x14ac:dyDescent="0.35">
      <c r="D2680" s="155"/>
      <c r="I2680" s="220"/>
    </row>
    <row r="2681" spans="4:23" x14ac:dyDescent="0.35">
      <c r="D2681" s="155" t="s">
        <v>6277</v>
      </c>
      <c r="H2681" s="573"/>
      <c r="I2681" s="624">
        <v>0.86</v>
      </c>
    </row>
    <row r="2682" spans="4:23" ht="16.5" x14ac:dyDescent="0.45">
      <c r="D2682" s="155"/>
      <c r="E2682" t="s">
        <v>6147</v>
      </c>
      <c r="H2682" t="s">
        <v>6126</v>
      </c>
      <c r="I2682" s="220">
        <f>I2634</f>
        <v>0.85899452791444486</v>
      </c>
    </row>
    <row r="2683" spans="4:23" x14ac:dyDescent="0.35">
      <c r="D2683" s="155"/>
      <c r="H2683" s="155"/>
      <c r="I2683" s="220"/>
    </row>
    <row r="2684" spans="4:23" x14ac:dyDescent="0.35">
      <c r="D2684" s="155" t="s">
        <v>6278</v>
      </c>
      <c r="H2684" s="155"/>
      <c r="I2684" s="624">
        <v>307.2</v>
      </c>
    </row>
    <row r="2685" spans="4:23" x14ac:dyDescent="0.35">
      <c r="D2685" s="155" t="s">
        <v>6279</v>
      </c>
      <c r="H2685" s="232"/>
      <c r="I2685" s="625">
        <v>305.2</v>
      </c>
      <c r="K2685" s="155"/>
    </row>
    <row r="2686" spans="4:23" x14ac:dyDescent="0.35">
      <c r="E2686" s="155" t="s">
        <v>6150</v>
      </c>
      <c r="H2686" s="155"/>
      <c r="I2686" s="220">
        <f>I2684+I2678-I2685</f>
        <v>2.4200000000000159</v>
      </c>
      <c r="K2686" s="155"/>
    </row>
    <row r="2687" spans="4:23" x14ac:dyDescent="0.35">
      <c r="D2687" s="155"/>
      <c r="E2687" t="s">
        <v>6147</v>
      </c>
      <c r="H2687" s="155"/>
      <c r="I2687" s="220">
        <f>I2641</f>
        <v>2.8626057263856395</v>
      </c>
      <c r="K2687" s="155"/>
      <c r="L2687" s="170"/>
      <c r="M2687" s="155"/>
      <c r="N2687" s="1"/>
    </row>
    <row r="2688" spans="4:23" x14ac:dyDescent="0.35">
      <c r="D2688" s="155"/>
      <c r="H2688" s="155"/>
      <c r="I2688" s="220"/>
      <c r="K2688" s="155"/>
      <c r="L2688" s="170"/>
      <c r="M2688" s="155"/>
      <c r="N2688" s="1"/>
    </row>
    <row r="2689" spans="1:38" x14ac:dyDescent="0.35">
      <c r="D2689" s="155" t="s">
        <v>6280</v>
      </c>
      <c r="H2689" s="155"/>
      <c r="I2689" s="624">
        <v>307.48</v>
      </c>
      <c r="K2689" s="155"/>
      <c r="L2689" s="170"/>
      <c r="M2689" s="155"/>
      <c r="N2689" s="1"/>
      <c r="P2689" s="73"/>
      <c r="Q2689" s="1"/>
      <c r="S2689" s="313"/>
      <c r="T2689" s="1"/>
      <c r="V2689" s="313"/>
      <c r="W2689" s="1"/>
    </row>
    <row r="2690" spans="1:38" x14ac:dyDescent="0.35">
      <c r="B2690" s="152"/>
      <c r="E2690" s="155" t="s">
        <v>6270</v>
      </c>
      <c r="H2690" s="155"/>
      <c r="I2690" s="641">
        <f>I2689-I2684</f>
        <v>0.28000000000002956</v>
      </c>
      <c r="K2690" s="155"/>
      <c r="L2690" s="170"/>
      <c r="M2690" s="155"/>
      <c r="N2690" s="1"/>
    </row>
    <row r="2691" spans="1:38" x14ac:dyDescent="0.35">
      <c r="B2691" s="152"/>
      <c r="E2691" s="155" t="s">
        <v>6269</v>
      </c>
      <c r="H2691" s="155"/>
      <c r="I2691" s="641">
        <f>I2639</f>
        <v>9.2851624294520374E-2</v>
      </c>
      <c r="K2691" s="155"/>
      <c r="L2691" s="170"/>
      <c r="M2691" s="155"/>
      <c r="N2691" s="1"/>
      <c r="P2691" s="73"/>
      <c r="Q2691" s="1"/>
      <c r="S2691" s="313"/>
      <c r="T2691" s="1"/>
      <c r="V2691" s="313"/>
      <c r="W2691" s="1"/>
    </row>
    <row r="2692" spans="1:38" x14ac:dyDescent="0.35">
      <c r="B2692" s="152"/>
      <c r="D2692" s="155"/>
      <c r="E2692" s="155" t="s">
        <v>6155</v>
      </c>
      <c r="F2692" s="155"/>
      <c r="G2692" s="155"/>
      <c r="H2692" s="155"/>
      <c r="I2692" s="155">
        <v>9.2999999999999999E-2</v>
      </c>
      <c r="K2692" s="155"/>
      <c r="L2692" s="170"/>
      <c r="M2692" s="155"/>
      <c r="N2692" s="1"/>
      <c r="P2692" s="73"/>
      <c r="Q2692" s="1"/>
      <c r="S2692" s="313"/>
      <c r="T2692" s="1"/>
      <c r="V2692" s="313"/>
      <c r="W2692" s="1"/>
    </row>
    <row r="2693" spans="1:38" x14ac:dyDescent="0.35">
      <c r="B2693" s="152"/>
      <c r="D2693" s="155"/>
      <c r="H2693" s="155"/>
      <c r="I2693" s="220"/>
      <c r="K2693" s="155"/>
      <c r="L2693" s="170"/>
      <c r="M2693" s="155"/>
      <c r="N2693" s="1"/>
      <c r="P2693" s="73"/>
      <c r="Q2693" s="1"/>
      <c r="S2693" s="313"/>
      <c r="T2693" s="1"/>
      <c r="V2693" s="313"/>
      <c r="W2693" s="1"/>
    </row>
    <row r="2694" spans="1:38" x14ac:dyDescent="0.35">
      <c r="B2694" s="152"/>
      <c r="D2694" s="155" t="s">
        <v>6283</v>
      </c>
      <c r="H2694" s="155"/>
      <c r="I2694" s="49">
        <f>(I2685/(I2689+I2678+I2677+I2676))</f>
        <v>0.99122769981260184</v>
      </c>
      <c r="K2694" s="155"/>
      <c r="L2694" s="170"/>
      <c r="M2694" s="155"/>
      <c r="N2694" s="1"/>
      <c r="P2694" s="73"/>
      <c r="Q2694" s="1"/>
      <c r="S2694" s="313"/>
      <c r="T2694" s="1"/>
      <c r="V2694" s="313"/>
      <c r="W2694" s="1"/>
    </row>
    <row r="2695" spans="1:38" x14ac:dyDescent="0.35">
      <c r="B2695" s="152"/>
      <c r="D2695" s="155"/>
      <c r="E2695" t="s">
        <v>6147</v>
      </c>
      <c r="H2695" s="155"/>
      <c r="I2695" s="49">
        <f>I2643</f>
        <v>0.99061380735363203</v>
      </c>
      <c r="K2695" s="155"/>
      <c r="L2695" s="170"/>
      <c r="M2695" s="155"/>
      <c r="N2695" s="1"/>
      <c r="P2695" s="73"/>
      <c r="Q2695" s="1"/>
      <c r="S2695" s="313"/>
      <c r="T2695" s="1"/>
      <c r="V2695" s="313"/>
      <c r="W2695" s="1"/>
    </row>
    <row r="2696" spans="1:38" x14ac:dyDescent="0.35">
      <c r="B2696" s="152"/>
      <c r="D2696" s="155"/>
      <c r="H2696" s="155"/>
      <c r="I2696" s="49"/>
      <c r="K2696" s="155"/>
      <c r="L2696" s="170"/>
      <c r="M2696" s="155"/>
      <c r="N2696" s="1"/>
      <c r="P2696" s="73"/>
      <c r="Q2696" s="1"/>
      <c r="S2696" s="313"/>
      <c r="T2696" s="1"/>
      <c r="V2696" s="313"/>
      <c r="W2696" s="1"/>
    </row>
    <row r="2697" spans="1:38" ht="16.5" x14ac:dyDescent="0.45">
      <c r="B2697" s="152"/>
      <c r="D2697" s="155" t="s">
        <v>6281</v>
      </c>
      <c r="H2697" s="155"/>
      <c r="I2697" s="627">
        <v>8.3000000000000004E-2</v>
      </c>
      <c r="K2697" s="155"/>
      <c r="L2697" s="170"/>
      <c r="M2697" s="155"/>
      <c r="N2697" s="1"/>
      <c r="P2697" s="73"/>
      <c r="Q2697" s="1"/>
      <c r="S2697" s="313"/>
      <c r="T2697" s="1"/>
      <c r="V2697" s="313"/>
      <c r="W2697" s="1"/>
    </row>
    <row r="2698" spans="1:38" x14ac:dyDescent="0.35">
      <c r="E2698" t="s">
        <v>6147</v>
      </c>
      <c r="I2698" s="236">
        <f>I2595/1000</f>
        <v>5.0963798674785954E-2</v>
      </c>
      <c r="J2698" s="162"/>
      <c r="K2698" s="155"/>
      <c r="L2698" s="155"/>
      <c r="M2698" s="170"/>
      <c r="N2698" s="155"/>
      <c r="O2698" s="1"/>
      <c r="Q2698" s="73"/>
      <c r="R2698" s="1"/>
      <c r="T2698" s="313"/>
      <c r="U2698" s="1"/>
      <c r="W2698" s="313"/>
      <c r="X2698" s="1"/>
    </row>
    <row r="2699" spans="1:38" x14ac:dyDescent="0.35">
      <c r="D2699" s="155"/>
      <c r="F2699" s="155"/>
      <c r="G2699" s="220"/>
      <c r="H2699" s="155"/>
      <c r="I2699" s="155"/>
      <c r="J2699" s="155"/>
      <c r="K2699" s="170"/>
      <c r="L2699" s="155"/>
      <c r="M2699" s="1"/>
      <c r="Q2699" s="73"/>
      <c r="R2699" s="1"/>
      <c r="T2699" s="313"/>
      <c r="U2699" s="1"/>
      <c r="W2699" s="313"/>
      <c r="X2699" s="1"/>
    </row>
    <row r="2700" spans="1:38" s="5" customFormat="1" x14ac:dyDescent="0.35">
      <c r="A2700" s="86" t="s">
        <v>6564</v>
      </c>
    </row>
    <row r="2701" spans="1:38" x14ac:dyDescent="0.35">
      <c r="B2701" s="295"/>
      <c r="C2701" s="155"/>
      <c r="D2701" s="155"/>
      <c r="E2701" s="155"/>
      <c r="F2701" s="155"/>
      <c r="G2701" s="155"/>
      <c r="H2701" s="155"/>
      <c r="I2701" s="170"/>
      <c r="J2701" s="155"/>
      <c r="N2701" s="73"/>
      <c r="Q2701" s="565" t="s">
        <v>5802</v>
      </c>
      <c r="T2701" s="1"/>
      <c r="V2701" s="313"/>
      <c r="W2701" s="1"/>
    </row>
    <row r="2702" spans="1:38" ht="36.5" x14ac:dyDescent="0.35">
      <c r="B2702" s="123" t="s">
        <v>5769</v>
      </c>
      <c r="C2702" s="123" t="s">
        <v>6090</v>
      </c>
      <c r="D2702" s="307" t="s">
        <v>6091</v>
      </c>
      <c r="E2702" s="123" t="s">
        <v>4797</v>
      </c>
      <c r="F2702" s="123" t="s">
        <v>3307</v>
      </c>
      <c r="G2702" s="123" t="s">
        <v>6092</v>
      </c>
      <c r="H2702" s="123" t="s">
        <v>5799</v>
      </c>
      <c r="I2702" s="123" t="s">
        <v>6025</v>
      </c>
      <c r="K2702" s="307" t="s">
        <v>5937</v>
      </c>
      <c r="L2702" s="307" t="s">
        <v>5936</v>
      </c>
      <c r="M2702" s="307" t="s">
        <v>5938</v>
      </c>
      <c r="N2702" s="123" t="s">
        <v>6076</v>
      </c>
      <c r="O2702" s="123" t="s">
        <v>6114</v>
      </c>
      <c r="Q2702" s="574" t="s">
        <v>6079</v>
      </c>
      <c r="R2702" s="574" t="s">
        <v>6099</v>
      </c>
      <c r="S2702" s="574" t="s">
        <v>6100</v>
      </c>
      <c r="T2702" s="574" t="s">
        <v>6101</v>
      </c>
      <c r="U2702" s="574" t="s">
        <v>6106</v>
      </c>
      <c r="W2702" s="574" t="s">
        <v>6103</v>
      </c>
      <c r="X2702" s="576" t="s">
        <v>6078</v>
      </c>
      <c r="Y2702" s="576" t="s">
        <v>6084</v>
      </c>
      <c r="Z2702" s="574" t="s">
        <v>6113</v>
      </c>
      <c r="AB2702" s="574" t="s">
        <v>6104</v>
      </c>
      <c r="AC2702" s="574" t="s">
        <v>6102</v>
      </c>
      <c r="AE2702" s="574" t="s">
        <v>6105</v>
      </c>
      <c r="AF2702" s="123" t="s">
        <v>6077</v>
      </c>
      <c r="AG2702" s="575" t="s">
        <v>2487</v>
      </c>
      <c r="AI2702" s="307" t="s">
        <v>5777</v>
      </c>
      <c r="AK2702" s="307" t="s">
        <v>4228</v>
      </c>
    </row>
    <row r="2703" spans="1:38" x14ac:dyDescent="0.35">
      <c r="B2703" s="295" t="s">
        <v>6095</v>
      </c>
      <c r="C2703">
        <v>20.5</v>
      </c>
      <c r="D2703">
        <v>10</v>
      </c>
      <c r="E2703" s="295" t="s">
        <v>5742</v>
      </c>
      <c r="F2703" s="295" t="s">
        <v>6019</v>
      </c>
      <c r="G2703" s="13">
        <v>3</v>
      </c>
      <c r="H2703" s="13">
        <v>3</v>
      </c>
      <c r="I2703" s="295" t="s">
        <v>6093</v>
      </c>
      <c r="K2703" s="295" t="s">
        <v>6086</v>
      </c>
      <c r="L2703" s="295" t="s">
        <v>6087</v>
      </c>
      <c r="M2703" s="295" t="s">
        <v>6085</v>
      </c>
      <c r="N2703" s="73">
        <v>2000</v>
      </c>
      <c r="Q2703" s="295" t="s">
        <v>6080</v>
      </c>
      <c r="S2703" s="12">
        <v>352.8</v>
      </c>
      <c r="U2703" s="317">
        <v>341.7</v>
      </c>
      <c r="W2703">
        <v>1.26</v>
      </c>
      <c r="X2703">
        <v>4.6399999999999997</v>
      </c>
      <c r="Y2703" s="616" t="s">
        <v>6089</v>
      </c>
      <c r="AE2703" s="12">
        <f>W2703+S2703</f>
        <v>354.06</v>
      </c>
      <c r="AF2703" s="413">
        <f>AE2703-U2703</f>
        <v>12.360000000000014</v>
      </c>
      <c r="AG2703" s="36">
        <f>(AE2703-AF2703)/AE2703</f>
        <v>0.96509066259955933</v>
      </c>
      <c r="AI2703" s="295" t="s">
        <v>6088</v>
      </c>
      <c r="AJ2703" t="s">
        <v>0</v>
      </c>
      <c r="AK2703" s="352"/>
      <c r="AL2703" s="352"/>
    </row>
    <row r="2704" spans="1:38" x14ac:dyDescent="0.35">
      <c r="B2704" s="295" t="s">
        <v>6094</v>
      </c>
      <c r="C2704">
        <v>39.1</v>
      </c>
      <c r="D2704" s="155"/>
      <c r="E2704" s="155"/>
      <c r="F2704" s="155"/>
      <c r="G2704" s="155"/>
      <c r="I2704" s="295" t="s">
        <v>6097</v>
      </c>
      <c r="J2704" s="170"/>
      <c r="K2704" s="295" t="s">
        <v>6086</v>
      </c>
      <c r="L2704" s="295" t="s">
        <v>6098</v>
      </c>
      <c r="M2704" s="295" t="s">
        <v>6085</v>
      </c>
      <c r="N2704">
        <v>6000</v>
      </c>
      <c r="O2704" s="295"/>
      <c r="Q2704" s="295" t="s">
        <v>6107</v>
      </c>
      <c r="R2704">
        <v>315.13</v>
      </c>
      <c r="S2704" s="12">
        <v>311.60000000000002</v>
      </c>
      <c r="T2704" s="12">
        <v>310.2</v>
      </c>
      <c r="U2704" s="317">
        <v>306</v>
      </c>
      <c r="W2704">
        <v>0.42</v>
      </c>
      <c r="X2704">
        <v>1.05</v>
      </c>
      <c r="Y2704">
        <v>0.38</v>
      </c>
      <c r="AB2704" s="12">
        <f>S2704-T2704</f>
        <v>1.4000000000000341</v>
      </c>
      <c r="AC2704" s="12">
        <f>T2704-U2704</f>
        <v>4.1999999999999886</v>
      </c>
      <c r="AE2704" s="12">
        <f t="shared" ref="AE2704:AE2705" si="116">W2704+S2704</f>
        <v>312.02000000000004</v>
      </c>
      <c r="AF2704" s="413">
        <f t="shared" ref="AF2704:AF2705" si="117">AE2704-U2704</f>
        <v>6.0200000000000387</v>
      </c>
      <c r="AG2704" s="36">
        <f>(AE2704-AF2704)/AE2704</f>
        <v>0.98070636497660391</v>
      </c>
      <c r="AH2704" s="413"/>
      <c r="AI2704" s="295" t="s">
        <v>6096</v>
      </c>
      <c r="AJ2704" t="s">
        <v>0</v>
      </c>
      <c r="AK2704" s="295" t="s">
        <v>6108</v>
      </c>
      <c r="AL2704" s="352"/>
    </row>
    <row r="2705" spans="1:37" x14ac:dyDescent="0.35">
      <c r="B2705" s="295" t="s">
        <v>3919</v>
      </c>
      <c r="C2705" s="318" t="s">
        <v>3919</v>
      </c>
      <c r="D2705" s="318" t="s">
        <v>3919</v>
      </c>
      <c r="E2705" s="155"/>
      <c r="F2705" s="155"/>
      <c r="G2705" s="155"/>
      <c r="I2705" s="325" t="s">
        <v>3919</v>
      </c>
      <c r="J2705" s="170"/>
      <c r="K2705" s="325" t="s">
        <v>3919</v>
      </c>
      <c r="L2705" s="325" t="s">
        <v>3919</v>
      </c>
      <c r="M2705" s="325" t="s">
        <v>3919</v>
      </c>
      <c r="O2705">
        <v>85</v>
      </c>
      <c r="Q2705" s="295" t="s">
        <v>6112</v>
      </c>
      <c r="R2705" s="12">
        <v>310.89999999999998</v>
      </c>
      <c r="S2705" s="12">
        <v>307.47000000000003</v>
      </c>
      <c r="T2705" s="12">
        <v>307.2</v>
      </c>
      <c r="U2705" s="12">
        <v>305.2</v>
      </c>
      <c r="W2705">
        <v>0.42</v>
      </c>
      <c r="X2705" s="413">
        <v>1.01</v>
      </c>
      <c r="Y2705">
        <v>0.38</v>
      </c>
      <c r="Z2705">
        <v>0.86</v>
      </c>
      <c r="AA2705" s="170"/>
      <c r="AB2705" s="12">
        <f>S2705-T2705</f>
        <v>0.27000000000003865</v>
      </c>
      <c r="AC2705" s="12">
        <f>T2705-U2705</f>
        <v>2</v>
      </c>
      <c r="AE2705" s="12">
        <f t="shared" si="116"/>
        <v>307.89000000000004</v>
      </c>
      <c r="AF2705" s="413">
        <f t="shared" si="117"/>
        <v>2.6900000000000546</v>
      </c>
      <c r="AG2705" s="36">
        <f>(AE2705-AF2705)/AE2705</f>
        <v>0.99126311344960849</v>
      </c>
      <c r="AH2705" s="352"/>
      <c r="AI2705" s="295" t="s">
        <v>6115</v>
      </c>
      <c r="AJ2705" s="352"/>
      <c r="AK2705" s="352"/>
    </row>
    <row r="2706" spans="1:37" x14ac:dyDescent="0.35">
      <c r="B2706" s="295"/>
      <c r="C2706" s="155"/>
      <c r="D2706" s="155"/>
      <c r="E2706" s="155"/>
      <c r="F2706" s="155"/>
      <c r="G2706" s="155"/>
      <c r="I2706" s="155"/>
      <c r="J2706" s="170"/>
      <c r="K2706" s="155"/>
      <c r="L2706" s="1"/>
      <c r="O2706" s="295"/>
      <c r="P2706" s="317"/>
      <c r="Q2706" s="12"/>
      <c r="V2706" s="413"/>
      <c r="W2706" s="413"/>
      <c r="X2706" s="36"/>
      <c r="Y2706" s="170"/>
      <c r="AC2706" s="352"/>
      <c r="AD2706" s="352"/>
      <c r="AE2706" s="352"/>
      <c r="AF2706" s="352"/>
      <c r="AG2706" s="352"/>
      <c r="AH2706" s="352"/>
      <c r="AI2706" s="352"/>
    </row>
    <row r="2707" spans="1:37" s="5" customFormat="1" x14ac:dyDescent="0.35">
      <c r="A2707" s="86" t="s">
        <v>6565</v>
      </c>
    </row>
    <row r="2708" spans="1:37" x14ac:dyDescent="0.35">
      <c r="B2708" s="295"/>
      <c r="C2708" s="155"/>
      <c r="D2708" s="155"/>
      <c r="E2708" s="155"/>
      <c r="F2708" s="155"/>
      <c r="G2708" s="155"/>
      <c r="I2708" s="155"/>
      <c r="J2708" s="170"/>
      <c r="K2708" s="155"/>
      <c r="L2708" s="1"/>
      <c r="O2708" s="295"/>
      <c r="P2708" s="317"/>
      <c r="Q2708" s="12"/>
      <c r="V2708" s="413"/>
      <c r="W2708" s="413"/>
      <c r="X2708" s="36"/>
      <c r="Y2708" s="170"/>
      <c r="AC2708" s="352"/>
      <c r="AD2708" s="352"/>
      <c r="AE2708" s="352"/>
      <c r="AF2708" s="352"/>
      <c r="AG2708" s="352"/>
      <c r="AH2708" s="352"/>
      <c r="AI2708" s="352"/>
    </row>
    <row r="2709" spans="1:37" x14ac:dyDescent="0.35">
      <c r="B2709" s="83" t="s">
        <v>1377</v>
      </c>
      <c r="D2709" t="s">
        <v>6161</v>
      </c>
      <c r="K2709" s="170" t="s">
        <v>3668</v>
      </c>
      <c r="M2709" s="1" t="s">
        <v>6160</v>
      </c>
    </row>
    <row r="2710" spans="1:37" x14ac:dyDescent="0.35">
      <c r="B2710" s="295"/>
      <c r="C2710" s="155"/>
      <c r="D2710" s="155" t="s">
        <v>6216</v>
      </c>
      <c r="E2710" s="155"/>
      <c r="F2710" s="155"/>
      <c r="G2710" s="155"/>
      <c r="J2710" s="155"/>
      <c r="K2710" s="170"/>
      <c r="L2710" s="155"/>
      <c r="M2710" s="1" t="s">
        <v>6215</v>
      </c>
      <c r="O2710" s="295"/>
      <c r="P2710" s="317"/>
      <c r="Q2710" s="12"/>
      <c r="V2710" s="413"/>
      <c r="W2710" s="413"/>
      <c r="X2710" s="36"/>
      <c r="Y2710" s="170"/>
      <c r="AC2710" s="352"/>
      <c r="AD2710" s="352"/>
      <c r="AE2710" s="352"/>
      <c r="AF2710" s="352"/>
      <c r="AG2710" s="352"/>
      <c r="AH2710" s="352"/>
      <c r="AI2710" s="352"/>
    </row>
    <row r="2711" spans="1:37" x14ac:dyDescent="0.35">
      <c r="B2711" s="295"/>
      <c r="C2711" s="155"/>
      <c r="D2711" s="155" t="s">
        <v>6242</v>
      </c>
      <c r="E2711" s="155"/>
      <c r="F2711" s="155"/>
      <c r="G2711" s="155"/>
      <c r="J2711" s="155"/>
      <c r="K2711" s="170"/>
      <c r="L2711" s="155"/>
      <c r="M2711" s="1"/>
      <c r="O2711" s="295"/>
      <c r="P2711" s="317"/>
      <c r="Q2711" s="12"/>
      <c r="V2711" s="413"/>
      <c r="W2711" s="413"/>
      <c r="X2711" s="36"/>
      <c r="Y2711" s="170"/>
      <c r="AC2711" s="352"/>
      <c r="AD2711" s="352"/>
      <c r="AE2711" s="352"/>
      <c r="AF2711" s="352"/>
      <c r="AG2711" s="352"/>
      <c r="AH2711" s="352"/>
      <c r="AI2711" s="352"/>
    </row>
    <row r="2712" spans="1:37" x14ac:dyDescent="0.35">
      <c r="B2712" s="295"/>
      <c r="C2712" s="155"/>
      <c r="D2712" s="155"/>
      <c r="E2712" s="155"/>
      <c r="F2712" s="155"/>
      <c r="G2712" s="155"/>
      <c r="J2712" s="155"/>
      <c r="K2712" s="170"/>
      <c r="L2712" s="155"/>
      <c r="M2712" s="1"/>
      <c r="O2712" s="295"/>
      <c r="P2712" s="317"/>
      <c r="Q2712" s="12"/>
      <c r="V2712" s="413"/>
      <c r="W2712" s="413"/>
      <c r="X2712" s="36"/>
      <c r="Y2712" s="170"/>
      <c r="AC2712" s="352"/>
      <c r="AD2712" s="352"/>
      <c r="AE2712" s="352"/>
      <c r="AF2712" s="352"/>
      <c r="AG2712" s="352"/>
      <c r="AH2712" s="352"/>
      <c r="AI2712" s="352"/>
    </row>
    <row r="2713" spans="1:37" ht="16.5" x14ac:dyDescent="0.45">
      <c r="B2713" s="83" t="s">
        <v>6182</v>
      </c>
      <c r="C2713" s="155"/>
      <c r="D2713" s="618" t="s">
        <v>6168</v>
      </c>
      <c r="E2713" s="155"/>
      <c r="F2713" s="155"/>
      <c r="G2713" s="618" t="s">
        <v>6210</v>
      </c>
      <c r="H2713" t="s">
        <v>6167</v>
      </c>
      <c r="I2713" s="155">
        <v>8</v>
      </c>
      <c r="J2713" s="155">
        <v>8</v>
      </c>
      <c r="K2713" s="155">
        <v>8</v>
      </c>
      <c r="L2713" s="155"/>
      <c r="M2713" s="1"/>
      <c r="O2713" s="295"/>
      <c r="P2713" s="317"/>
      <c r="Q2713" s="12"/>
      <c r="V2713" s="413"/>
      <c r="W2713" s="413"/>
      <c r="X2713" s="36"/>
      <c r="Y2713" s="170"/>
      <c r="AC2713" s="352"/>
      <c r="AD2713" s="352"/>
      <c r="AE2713" s="352"/>
      <c r="AF2713" s="352"/>
      <c r="AG2713" s="352"/>
      <c r="AH2713" s="352"/>
      <c r="AI2713" s="352"/>
    </row>
    <row r="2714" spans="1:37" ht="16.5" x14ac:dyDescent="0.45">
      <c r="C2714" s="155"/>
      <c r="D2714" s="618" t="s">
        <v>6169</v>
      </c>
      <c r="E2714" s="155"/>
      <c r="F2714" s="155"/>
      <c r="G2714" s="618" t="s">
        <v>6170</v>
      </c>
      <c r="H2714" s="637" t="s">
        <v>6171</v>
      </c>
      <c r="I2714" s="155">
        <v>1.3</v>
      </c>
      <c r="J2714" s="155">
        <v>1.3</v>
      </c>
      <c r="K2714" s="155">
        <v>1.3</v>
      </c>
      <c r="L2714" s="155"/>
      <c r="M2714" s="1"/>
      <c r="O2714" s="295"/>
      <c r="P2714" s="317"/>
      <c r="Q2714" s="12"/>
      <c r="V2714" s="413"/>
      <c r="W2714" s="413"/>
      <c r="X2714" s="36"/>
      <c r="Y2714" s="170"/>
      <c r="AC2714" s="352"/>
      <c r="AD2714" s="352"/>
      <c r="AE2714" s="352"/>
      <c r="AF2714" s="352"/>
      <c r="AG2714" s="352"/>
      <c r="AH2714" s="352"/>
      <c r="AI2714" s="352"/>
    </row>
    <row r="2715" spans="1:37" ht="16.5" x14ac:dyDescent="0.45">
      <c r="C2715" s="155"/>
      <c r="D2715" s="618" t="s">
        <v>6241</v>
      </c>
      <c r="E2715" s="155"/>
      <c r="F2715" s="155"/>
      <c r="G2715" s="618" t="s">
        <v>6209</v>
      </c>
      <c r="H2715" t="s">
        <v>6167</v>
      </c>
      <c r="I2715" s="155">
        <v>22</v>
      </c>
      <c r="J2715" s="155">
        <v>22</v>
      </c>
      <c r="K2715" s="155">
        <v>22</v>
      </c>
      <c r="L2715" s="155"/>
      <c r="M2715" s="1"/>
      <c r="O2715" s="295"/>
      <c r="P2715" s="317"/>
      <c r="Q2715" s="12"/>
      <c r="V2715" s="413"/>
      <c r="W2715" s="413"/>
      <c r="X2715" s="36"/>
      <c r="Y2715" s="170"/>
      <c r="AC2715" s="352"/>
      <c r="AD2715" s="352"/>
      <c r="AE2715" s="352"/>
      <c r="AF2715" s="352"/>
      <c r="AG2715" s="352"/>
      <c r="AH2715" s="352"/>
      <c r="AI2715" s="352"/>
    </row>
    <row r="2716" spans="1:37" ht="16.5" x14ac:dyDescent="0.45">
      <c r="C2716" s="155"/>
      <c r="D2716" s="618" t="s">
        <v>6172</v>
      </c>
      <c r="E2716" s="155"/>
      <c r="F2716" s="155"/>
      <c r="G2716" s="618" t="s">
        <v>6173</v>
      </c>
      <c r="H2716" t="s">
        <v>6167</v>
      </c>
      <c r="I2716" s="155">
        <v>11</v>
      </c>
      <c r="J2716" s="155">
        <v>11</v>
      </c>
      <c r="K2716" s="155">
        <v>11</v>
      </c>
      <c r="L2716" s="155"/>
      <c r="M2716" s="1"/>
      <c r="O2716" s="295"/>
      <c r="P2716" s="317"/>
      <c r="Q2716" s="12"/>
      <c r="V2716" s="413"/>
      <c r="W2716" s="413"/>
      <c r="X2716" s="36"/>
      <c r="Y2716" s="170"/>
      <c r="AC2716" s="352"/>
      <c r="AD2716" s="352"/>
      <c r="AE2716" s="352"/>
      <c r="AF2716" s="352"/>
      <c r="AG2716" s="352"/>
      <c r="AH2716" s="352"/>
      <c r="AI2716" s="352"/>
    </row>
    <row r="2717" spans="1:37" ht="16.5" x14ac:dyDescent="0.45">
      <c r="C2717" s="155"/>
      <c r="D2717" s="618" t="s">
        <v>6180</v>
      </c>
      <c r="E2717" s="155"/>
      <c r="F2717" s="155"/>
      <c r="G2717" s="618" t="s">
        <v>6174</v>
      </c>
      <c r="H2717" t="s">
        <v>6007</v>
      </c>
      <c r="I2717" s="155">
        <v>0.44</v>
      </c>
      <c r="J2717" s="155">
        <v>0.44</v>
      </c>
      <c r="K2717" s="155">
        <v>0.44</v>
      </c>
      <c r="M2717" s="155"/>
      <c r="O2717" s="295"/>
      <c r="P2717" s="317"/>
      <c r="Q2717" s="12"/>
      <c r="V2717" s="413"/>
      <c r="W2717" s="413"/>
      <c r="X2717" s="36"/>
      <c r="Y2717" s="170"/>
      <c r="AC2717" s="352"/>
      <c r="AD2717" s="352"/>
      <c r="AE2717" s="352"/>
      <c r="AF2717" s="352"/>
      <c r="AG2717" s="352"/>
      <c r="AH2717" s="352"/>
      <c r="AI2717" s="352"/>
    </row>
    <row r="2718" spans="1:37" x14ac:dyDescent="0.35">
      <c r="C2718" s="155"/>
      <c r="D2718" s="155"/>
      <c r="E2718" s="155"/>
      <c r="F2718" s="155"/>
      <c r="G2718" s="155"/>
      <c r="I2718" s="155"/>
      <c r="J2718" s="155"/>
      <c r="K2718" s="155"/>
      <c r="M2718" s="155"/>
      <c r="O2718" s="295"/>
      <c r="P2718" s="317"/>
      <c r="Q2718" s="12"/>
      <c r="V2718" s="413"/>
      <c r="W2718" s="413"/>
      <c r="X2718" s="36"/>
      <c r="Y2718" s="170"/>
      <c r="AC2718" s="352"/>
      <c r="AD2718" s="352"/>
      <c r="AE2718" s="352"/>
      <c r="AF2718" s="352"/>
      <c r="AG2718" s="352"/>
      <c r="AH2718" s="352"/>
      <c r="AI2718" s="352"/>
    </row>
    <row r="2719" spans="1:37" ht="16.5" x14ac:dyDescent="0.45">
      <c r="B2719" s="83" t="s">
        <v>6228</v>
      </c>
      <c r="C2719" s="155"/>
      <c r="D2719" s="155" t="s">
        <v>6229</v>
      </c>
      <c r="E2719" s="155"/>
      <c r="F2719" s="155"/>
      <c r="G2719" s="618" t="s">
        <v>6176</v>
      </c>
      <c r="H2719" t="s">
        <v>4156</v>
      </c>
      <c r="I2719" s="236">
        <f>0.000001*1/(2*3.14*SQRT(I2714*0.000001*I2713*0.000001))</f>
        <v>4.9376884788697631E-2</v>
      </c>
      <c r="J2719" s="236">
        <f>0.000001*1/(2*3.14*SQRT(J2714*0.000001*J2713*0.000001))</f>
        <v>4.9376884788697631E-2</v>
      </c>
      <c r="K2719" s="236">
        <f>0.000001*1/(2*3.14*SQRT(K2714*0.000001*K2713*0.000001))</f>
        <v>4.9376884788697631E-2</v>
      </c>
      <c r="M2719" s="155" t="s">
        <v>6211</v>
      </c>
      <c r="O2719" s="295"/>
      <c r="P2719" s="317"/>
      <c r="Q2719" s="12"/>
      <c r="V2719" s="413"/>
      <c r="W2719" s="413"/>
      <c r="X2719" s="36"/>
      <c r="Y2719" s="170"/>
      <c r="AC2719" s="352"/>
      <c r="AD2719" s="352"/>
      <c r="AE2719" s="352"/>
      <c r="AF2719" s="352"/>
      <c r="AG2719" s="352"/>
      <c r="AH2719" s="352"/>
      <c r="AI2719" s="352"/>
    </row>
    <row r="2720" spans="1:37" ht="16.5" x14ac:dyDescent="0.45">
      <c r="C2720" s="155"/>
      <c r="D2720" s="155" t="s">
        <v>6230</v>
      </c>
      <c r="E2720" s="155"/>
      <c r="F2720" s="155"/>
      <c r="G2720" s="618" t="s">
        <v>6179</v>
      </c>
      <c r="I2720" s="236">
        <f>I2717*SQRT(I2715/I2714)</f>
        <v>1.8100573726563731</v>
      </c>
      <c r="J2720" s="236">
        <f t="shared" ref="J2720:K2720" si="118">J2717*SQRT(J2715/J2714)</f>
        <v>1.8100573726563731</v>
      </c>
      <c r="K2720" s="236">
        <f t="shared" si="118"/>
        <v>1.8100573726563731</v>
      </c>
      <c r="M2720" s="155" t="s">
        <v>6212</v>
      </c>
      <c r="O2720" s="295"/>
      <c r="P2720" s="317"/>
      <c r="Q2720" s="12"/>
      <c r="V2720" s="413"/>
      <c r="W2720" s="413"/>
      <c r="X2720" s="36"/>
      <c r="Y2720" s="170"/>
      <c r="AC2720" s="352"/>
      <c r="AD2720" s="352"/>
      <c r="AE2720" s="352"/>
      <c r="AF2720" s="352"/>
      <c r="AG2720" s="352"/>
      <c r="AH2720" s="352"/>
      <c r="AI2720" s="352"/>
    </row>
    <row r="2721" spans="1:35" x14ac:dyDescent="0.35">
      <c r="C2721" s="155"/>
      <c r="D2721" s="155"/>
      <c r="E2721" s="155"/>
      <c r="F2721" s="155"/>
      <c r="G2721" s="155"/>
      <c r="I2721" s="155"/>
      <c r="J2721" s="155"/>
      <c r="K2721" s="155"/>
      <c r="M2721" s="155"/>
      <c r="O2721" s="295"/>
      <c r="P2721" s="317"/>
      <c r="Q2721" s="12"/>
      <c r="V2721" s="413"/>
      <c r="W2721" s="413"/>
      <c r="X2721" s="36"/>
      <c r="Y2721" s="170"/>
      <c r="AC2721" s="352"/>
      <c r="AD2721" s="352"/>
      <c r="AE2721" s="352"/>
      <c r="AF2721" s="352"/>
      <c r="AG2721" s="352"/>
      <c r="AH2721" s="352"/>
      <c r="AI2721" s="352"/>
    </row>
    <row r="2722" spans="1:35" ht="16.5" x14ac:dyDescent="0.45">
      <c r="B2722" s="83" t="s">
        <v>6227</v>
      </c>
      <c r="C2722" s="155"/>
      <c r="D2722" s="155" t="s">
        <v>6177</v>
      </c>
      <c r="G2722" s="618" t="s">
        <v>6178</v>
      </c>
      <c r="H2722" t="s">
        <v>4156</v>
      </c>
      <c r="I2722" s="172">
        <v>0.2</v>
      </c>
      <c r="J2722" s="172">
        <v>0.4</v>
      </c>
      <c r="K2722" s="172">
        <v>0.8</v>
      </c>
      <c r="M2722" s="155"/>
      <c r="O2722" s="295"/>
      <c r="P2722" s="317"/>
      <c r="Q2722" s="12"/>
      <c r="V2722" s="413"/>
      <c r="W2722" s="413"/>
      <c r="X2722" s="36"/>
      <c r="Y2722" s="170"/>
      <c r="AC2722" s="352"/>
      <c r="AD2722" s="352"/>
      <c r="AE2722" s="352"/>
      <c r="AF2722" s="352"/>
      <c r="AG2722" s="352"/>
      <c r="AH2722" s="352"/>
      <c r="AI2722" s="352"/>
    </row>
    <row r="2723" spans="1:35" ht="17.5" x14ac:dyDescent="0.45">
      <c r="C2723" s="155"/>
      <c r="D2723" s="155" t="s">
        <v>6225</v>
      </c>
      <c r="E2723" s="155"/>
      <c r="F2723" s="155"/>
      <c r="G2723" s="618" t="s">
        <v>6213</v>
      </c>
      <c r="H2723" t="s">
        <v>6167</v>
      </c>
      <c r="I2723" s="414">
        <f>1000000*1/((2*3.14*0.1*I2722*1000000)^2*I2714*0.000001)</f>
        <v>48.761535028726385</v>
      </c>
      <c r="J2723" s="414">
        <f>1000000*1/((2*3.14*0.1*J2722*1000000)^2*J2714*0.000001)</f>
        <v>12.190383757181596</v>
      </c>
      <c r="K2723" s="414">
        <f>1000000*1/((2*3.14*0.1*K2722*1000000)^2*K2714*0.000001)</f>
        <v>3.0475959392953991</v>
      </c>
      <c r="M2723" s="155" t="s">
        <v>6226</v>
      </c>
      <c r="O2723" s="295"/>
      <c r="P2723" s="317"/>
      <c r="Q2723" s="12"/>
      <c r="V2723" s="413"/>
      <c r="W2723" s="413"/>
      <c r="X2723" s="36"/>
      <c r="Y2723" s="170"/>
      <c r="AC2723" s="352"/>
      <c r="AD2723" s="352"/>
      <c r="AE2723" s="352"/>
      <c r="AF2723" s="352"/>
      <c r="AG2723" s="352"/>
      <c r="AH2723" s="352"/>
      <c r="AI2723" s="352"/>
    </row>
    <row r="2724" spans="1:35" x14ac:dyDescent="0.35">
      <c r="C2724" s="155"/>
      <c r="O2724" s="295"/>
      <c r="P2724" s="317"/>
      <c r="Q2724" s="12"/>
      <c r="V2724" s="413"/>
      <c r="W2724" s="413"/>
      <c r="X2724" s="36"/>
      <c r="Y2724" s="170"/>
      <c r="AC2724" s="352"/>
      <c r="AD2724" s="352"/>
      <c r="AE2724" s="352"/>
      <c r="AF2724" s="352"/>
      <c r="AG2724" s="352"/>
      <c r="AH2724" s="352"/>
      <c r="AI2724" s="352"/>
    </row>
    <row r="2725" spans="1:35" ht="16.5" x14ac:dyDescent="0.45">
      <c r="B2725" s="83" t="s">
        <v>6208</v>
      </c>
      <c r="C2725" s="155"/>
      <c r="D2725" s="155" t="s">
        <v>6231</v>
      </c>
      <c r="E2725" s="155"/>
      <c r="F2725" s="155"/>
      <c r="G2725" s="618" t="s">
        <v>6181</v>
      </c>
      <c r="H2725" t="s">
        <v>6007</v>
      </c>
      <c r="I2725" s="413">
        <f>SQRT( I2714/I2715   )</f>
        <v>0.24308621740219885</v>
      </c>
      <c r="J2725" s="413">
        <f t="shared" ref="J2725:K2725" si="119">SQRT( J2714/J2715   )</f>
        <v>0.24308621740219885</v>
      </c>
      <c r="K2725" s="413">
        <f t="shared" si="119"/>
        <v>0.24308621740219885</v>
      </c>
      <c r="L2725" s="1"/>
      <c r="M2725" s="155" t="s">
        <v>6214</v>
      </c>
      <c r="O2725" s="295"/>
      <c r="P2725" s="317"/>
      <c r="Q2725" s="12"/>
      <c r="V2725" s="413"/>
      <c r="W2725" s="413"/>
      <c r="X2725" s="36"/>
      <c r="Y2725" s="170"/>
      <c r="AC2725" s="352"/>
      <c r="AD2725" s="352"/>
      <c r="AE2725" s="352"/>
      <c r="AF2725" s="352"/>
      <c r="AG2725" s="352"/>
      <c r="AH2725" s="352"/>
      <c r="AI2725" s="352"/>
    </row>
    <row r="2726" spans="1:35" ht="16.5" x14ac:dyDescent="0.45">
      <c r="C2726" s="155"/>
      <c r="D2726" s="155" t="s">
        <v>6232</v>
      </c>
      <c r="E2726" s="155"/>
      <c r="F2726" s="155"/>
      <c r="G2726" s="618" t="s">
        <v>6217</v>
      </c>
      <c r="H2726" t="s">
        <v>6167</v>
      </c>
      <c r="I2726" s="155">
        <f>I2715*4</f>
        <v>88</v>
      </c>
      <c r="J2726" s="155">
        <f t="shared" ref="J2726:K2726" si="120">J2715*4</f>
        <v>88</v>
      </c>
      <c r="K2726" s="155">
        <f t="shared" si="120"/>
        <v>88</v>
      </c>
      <c r="L2726" s="1"/>
      <c r="M2726" s="155" t="s">
        <v>6218</v>
      </c>
      <c r="O2726" s="295"/>
      <c r="P2726" s="317"/>
      <c r="Q2726" s="12"/>
      <c r="V2726" s="413"/>
      <c r="W2726" s="413"/>
      <c r="X2726" s="36"/>
      <c r="Y2726" s="170"/>
      <c r="AC2726" s="352"/>
      <c r="AD2726" s="352"/>
      <c r="AE2726" s="352"/>
      <c r="AF2726" s="352"/>
      <c r="AG2726" s="352"/>
      <c r="AH2726" s="352"/>
      <c r="AI2726" s="352"/>
    </row>
    <row r="2727" spans="1:35" x14ac:dyDescent="0.35">
      <c r="C2727" s="155"/>
      <c r="D2727" s="155"/>
      <c r="E2727" s="155"/>
      <c r="F2727" s="155"/>
      <c r="G2727" s="155"/>
      <c r="I2727" s="155"/>
      <c r="J2727" s="170"/>
      <c r="K2727" s="155"/>
      <c r="L2727" s="1"/>
      <c r="O2727" s="295"/>
      <c r="P2727" s="317"/>
      <c r="Q2727" s="12"/>
      <c r="V2727" s="413"/>
      <c r="W2727" s="413"/>
      <c r="X2727" s="36"/>
      <c r="Y2727" s="170"/>
      <c r="AC2727" s="352"/>
      <c r="AD2727" s="352"/>
      <c r="AE2727" s="352"/>
      <c r="AF2727" s="352"/>
      <c r="AG2727" s="352"/>
      <c r="AH2727" s="352"/>
      <c r="AI2727" s="352"/>
    </row>
    <row r="2728" spans="1:35" ht="16.5" x14ac:dyDescent="0.45">
      <c r="B2728" s="83" t="s">
        <v>6233</v>
      </c>
      <c r="C2728" s="155"/>
      <c r="D2728" s="155" t="s">
        <v>6219</v>
      </c>
      <c r="E2728" s="155"/>
      <c r="F2728" s="155"/>
      <c r="G2728" s="155" t="s">
        <v>6237</v>
      </c>
      <c r="H2728" t="s">
        <v>2</v>
      </c>
      <c r="I2728" s="171">
        <v>25</v>
      </c>
      <c r="J2728" s="171">
        <v>50</v>
      </c>
      <c r="K2728" s="171">
        <v>75</v>
      </c>
      <c r="L2728" s="1"/>
      <c r="M2728" t="s">
        <v>6236</v>
      </c>
      <c r="N2728" s="295"/>
      <c r="O2728" s="295"/>
      <c r="P2728" s="317"/>
      <c r="Q2728" s="12"/>
      <c r="V2728" s="413"/>
      <c r="W2728" s="413"/>
      <c r="X2728" s="36"/>
      <c r="Y2728" s="170"/>
      <c r="AC2728" s="352"/>
      <c r="AD2728" s="352"/>
      <c r="AE2728" s="352"/>
      <c r="AF2728" s="352"/>
      <c r="AG2728" s="352"/>
      <c r="AH2728" s="352"/>
      <c r="AI2728" s="352"/>
    </row>
    <row r="2729" spans="1:35" ht="16.5" x14ac:dyDescent="0.45">
      <c r="C2729" s="155"/>
      <c r="D2729" s="155" t="s">
        <v>6221</v>
      </c>
      <c r="E2729" s="155"/>
      <c r="F2729" s="155"/>
      <c r="G2729" s="155" t="s">
        <v>6238</v>
      </c>
      <c r="H2729" t="s">
        <v>4</v>
      </c>
      <c r="I2729" s="171">
        <v>300</v>
      </c>
      <c r="J2729" s="171">
        <v>300</v>
      </c>
      <c r="K2729" s="171">
        <v>300</v>
      </c>
      <c r="L2729" s="1"/>
      <c r="O2729" s="295"/>
      <c r="P2729" s="317"/>
      <c r="Q2729" s="12"/>
      <c r="V2729" s="413"/>
      <c r="W2729" s="413"/>
      <c r="X2729" s="36"/>
      <c r="Y2729" s="170"/>
      <c r="AC2729" s="352"/>
      <c r="AD2729" s="352"/>
      <c r="AE2729" s="352"/>
      <c r="AF2729" s="352"/>
      <c r="AG2729" s="352"/>
      <c r="AH2729" s="352"/>
      <c r="AI2729" s="352"/>
    </row>
    <row r="2730" spans="1:35" ht="17.5" x14ac:dyDescent="0.45">
      <c r="C2730" s="155"/>
      <c r="D2730" s="155" t="s">
        <v>6223</v>
      </c>
      <c r="E2730" s="155"/>
      <c r="F2730" s="155"/>
      <c r="G2730" s="155" t="s">
        <v>6234</v>
      </c>
      <c r="H2730" t="s">
        <v>6007</v>
      </c>
      <c r="I2730" s="413">
        <f>I2728^2/I2729</f>
        <v>2.0833333333333335</v>
      </c>
      <c r="J2730" s="413">
        <f t="shared" ref="J2730:K2730" si="121">J2728^2/J2729</f>
        <v>8.3333333333333339</v>
      </c>
      <c r="K2730" s="413">
        <f t="shared" si="121"/>
        <v>18.75</v>
      </c>
      <c r="L2730" s="1"/>
      <c r="M2730" s="155" t="s">
        <v>6235</v>
      </c>
      <c r="O2730" s="295"/>
      <c r="P2730" s="317"/>
      <c r="Q2730" s="12"/>
      <c r="V2730" s="413"/>
      <c r="W2730" s="413"/>
      <c r="X2730" s="36"/>
      <c r="Y2730" s="170"/>
      <c r="AC2730" s="352"/>
      <c r="AD2730" s="352"/>
      <c r="AE2730" s="352"/>
      <c r="AF2730" s="352"/>
      <c r="AG2730" s="352"/>
      <c r="AH2730" s="352"/>
      <c r="AI2730" s="352"/>
    </row>
    <row r="2731" spans="1:35" x14ac:dyDescent="0.35">
      <c r="C2731" s="155"/>
      <c r="D2731" s="155"/>
      <c r="E2731" s="155"/>
      <c r="F2731" s="155"/>
      <c r="G2731" s="155"/>
      <c r="I2731" s="155"/>
      <c r="J2731" s="170"/>
      <c r="K2731" s="155"/>
      <c r="L2731" s="1"/>
      <c r="O2731" s="295"/>
      <c r="P2731" s="317"/>
      <c r="Q2731" s="12"/>
      <c r="V2731" s="413"/>
      <c r="W2731" s="413"/>
      <c r="X2731" s="36"/>
      <c r="Y2731" s="170"/>
      <c r="AC2731" s="352"/>
      <c r="AD2731" s="352"/>
      <c r="AE2731" s="352"/>
      <c r="AF2731" s="352"/>
      <c r="AG2731" s="352"/>
      <c r="AH2731" s="352"/>
      <c r="AI2731" s="352"/>
    </row>
    <row r="2732" spans="1:35" x14ac:dyDescent="0.35">
      <c r="C2732" s="155"/>
      <c r="D2732" s="155"/>
      <c r="E2732" s="155"/>
      <c r="F2732" s="155"/>
      <c r="G2732" s="155"/>
      <c r="I2732" s="155"/>
      <c r="J2732" s="170"/>
      <c r="K2732" s="155"/>
      <c r="L2732" s="1"/>
      <c r="O2732" s="295"/>
      <c r="P2732" s="317"/>
      <c r="Q2732" s="12"/>
      <c r="V2732" s="413"/>
      <c r="W2732" s="413"/>
      <c r="X2732" s="36"/>
      <c r="Y2732" s="170"/>
      <c r="AC2732" s="352"/>
      <c r="AD2732" s="352"/>
      <c r="AE2732" s="352"/>
      <c r="AF2732" s="352"/>
      <c r="AG2732" s="352"/>
      <c r="AH2732" s="352"/>
      <c r="AI2732" s="352"/>
    </row>
    <row r="2733" spans="1:35" s="5" customFormat="1" x14ac:dyDescent="0.35">
      <c r="A2733" s="86" t="s">
        <v>6566</v>
      </c>
    </row>
    <row r="2734" spans="1:35" x14ac:dyDescent="0.35">
      <c r="D2734" s="155"/>
      <c r="F2734" s="155"/>
      <c r="G2734" s="220"/>
      <c r="H2734" s="155"/>
      <c r="I2734" s="155"/>
      <c r="J2734" s="155"/>
      <c r="K2734" s="170"/>
      <c r="L2734" s="155"/>
      <c r="M2734" s="1"/>
      <c r="Q2734" s="73"/>
      <c r="R2734" s="1"/>
      <c r="T2734" s="313"/>
      <c r="U2734" s="1"/>
      <c r="W2734" s="313"/>
      <c r="X2734" s="1"/>
    </row>
    <row r="2735" spans="1:35" x14ac:dyDescent="0.35">
      <c r="B2735" s="83" t="s">
        <v>5965</v>
      </c>
      <c r="D2735" s="155"/>
      <c r="F2735" s="155"/>
      <c r="G2735" s="220"/>
      <c r="H2735" s="155"/>
      <c r="I2735" s="155"/>
      <c r="J2735" s="155"/>
      <c r="K2735" s="170"/>
      <c r="L2735" s="155"/>
      <c r="M2735" s="1"/>
      <c r="Q2735" s="73"/>
      <c r="R2735" s="1"/>
      <c r="T2735" s="313"/>
      <c r="U2735" s="1"/>
      <c r="W2735" s="313"/>
      <c r="X2735" s="1"/>
    </row>
    <row r="2736" spans="1:35" x14ac:dyDescent="0.35">
      <c r="D2736" t="s">
        <v>5950</v>
      </c>
      <c r="X2736" s="295"/>
      <c r="Y2736" s="295"/>
      <c r="Z2736" s="295"/>
    </row>
    <row r="2737" spans="1:27" x14ac:dyDescent="0.35">
      <c r="D2737" t="s">
        <v>5951</v>
      </c>
      <c r="X2737" s="295"/>
      <c r="Y2737" s="295"/>
      <c r="Z2737" s="295"/>
    </row>
    <row r="2738" spans="1:27" x14ac:dyDescent="0.35">
      <c r="D2738" s="220" t="s">
        <v>5952</v>
      </c>
      <c r="E2738" s="220"/>
      <c r="F2738" s="448"/>
      <c r="I2738" s="554"/>
      <c r="K2738" s="409"/>
      <c r="N2738" s="220"/>
      <c r="Q2738" s="13"/>
      <c r="R2738" s="162"/>
      <c r="S2738" s="414"/>
      <c r="T2738" s="155"/>
      <c r="U2738" s="155"/>
      <c r="V2738" s="295"/>
      <c r="W2738" s="295"/>
      <c r="X2738" s="295"/>
    </row>
    <row r="2739" spans="1:27" x14ac:dyDescent="0.35">
      <c r="D2739" s="220" t="s">
        <v>5963</v>
      </c>
      <c r="E2739" s="220"/>
      <c r="F2739" s="448"/>
      <c r="I2739" s="554"/>
      <c r="K2739" s="409"/>
      <c r="N2739" s="220"/>
      <c r="Q2739" s="13"/>
      <c r="R2739" s="162"/>
      <c r="S2739" s="414"/>
      <c r="T2739" s="155"/>
      <c r="U2739" s="155"/>
      <c r="V2739" s="295"/>
      <c r="W2739" s="295"/>
      <c r="X2739" s="295"/>
    </row>
    <row r="2740" spans="1:27" x14ac:dyDescent="0.35">
      <c r="D2740" t="s">
        <v>5964</v>
      </c>
      <c r="E2740" s="220"/>
      <c r="F2740" s="448"/>
      <c r="I2740" s="554"/>
      <c r="K2740" s="409"/>
      <c r="N2740" s="220"/>
      <c r="Q2740" s="13"/>
      <c r="R2740" s="162"/>
      <c r="S2740" s="414"/>
      <c r="T2740" s="155"/>
      <c r="U2740" s="155"/>
      <c r="V2740" s="295"/>
      <c r="W2740" s="295"/>
      <c r="X2740" s="295"/>
    </row>
    <row r="2741" spans="1:27" x14ac:dyDescent="0.35">
      <c r="D2741" s="220" t="s">
        <v>5953</v>
      </c>
      <c r="E2741" s="220"/>
      <c r="F2741" s="448"/>
      <c r="I2741" s="554"/>
      <c r="K2741" s="409"/>
      <c r="N2741" s="220"/>
      <c r="Q2741" s="13"/>
      <c r="R2741" s="162"/>
      <c r="S2741" s="414"/>
      <c r="T2741" s="155"/>
      <c r="U2741" s="155"/>
      <c r="V2741" s="295"/>
      <c r="W2741" s="295"/>
      <c r="X2741" s="295"/>
    </row>
    <row r="2742" spans="1:27" x14ac:dyDescent="0.35">
      <c r="D2742" s="220"/>
      <c r="E2742" s="220"/>
      <c r="F2742" s="448"/>
      <c r="I2742" s="554"/>
      <c r="K2742" s="409"/>
      <c r="N2742" s="220"/>
      <c r="Q2742" s="13"/>
      <c r="R2742" s="162"/>
      <c r="S2742" s="414"/>
      <c r="T2742" s="155"/>
      <c r="U2742" s="155"/>
      <c r="V2742" s="295"/>
      <c r="W2742" s="295"/>
      <c r="X2742" s="295"/>
    </row>
    <row r="2743" spans="1:27" x14ac:dyDescent="0.35">
      <c r="B2743" s="83" t="s">
        <v>6157</v>
      </c>
      <c r="D2743" s="220"/>
      <c r="E2743" s="220"/>
      <c r="F2743" s="448"/>
      <c r="I2743" s="554"/>
      <c r="K2743" s="409"/>
      <c r="N2743" s="220"/>
      <c r="Q2743" s="13"/>
      <c r="R2743" s="162"/>
      <c r="S2743" s="414"/>
      <c r="T2743" s="155"/>
      <c r="U2743" s="155"/>
      <c r="V2743" s="295"/>
      <c r="W2743" s="295"/>
      <c r="X2743" s="295"/>
    </row>
    <row r="2744" spans="1:27" x14ac:dyDescent="0.35">
      <c r="D2744" s="220" t="s">
        <v>6158</v>
      </c>
    </row>
    <row r="2745" spans="1:27" x14ac:dyDescent="0.35">
      <c r="D2745" s="220" t="s">
        <v>6159</v>
      </c>
    </row>
    <row r="2746" spans="1:27" x14ac:dyDescent="0.35">
      <c r="D2746" s="220" t="s">
        <v>6300</v>
      </c>
    </row>
    <row r="2747" spans="1:27" x14ac:dyDescent="0.35">
      <c r="D2747" s="295"/>
      <c r="E2747" s="155"/>
      <c r="F2747" s="155"/>
      <c r="G2747" s="155"/>
      <c r="H2747" s="155"/>
      <c r="I2747" s="155"/>
      <c r="K2747" s="155"/>
      <c r="L2747" s="170"/>
      <c r="M2747" s="155"/>
      <c r="N2747" s="1"/>
      <c r="Q2747" s="295"/>
      <c r="R2747" s="317"/>
      <c r="S2747" s="12"/>
      <c r="X2747" s="413"/>
      <c r="Y2747" s="413"/>
      <c r="Z2747" s="36"/>
      <c r="AA2747" s="170"/>
    </row>
    <row r="2748" spans="1:27" s="5" customFormat="1" x14ac:dyDescent="0.35">
      <c r="A2748" s="86" t="s">
        <v>3617</v>
      </c>
    </row>
    <row r="2749" spans="1:27" x14ac:dyDescent="0.35">
      <c r="D2749" s="295"/>
      <c r="E2749" s="155"/>
      <c r="F2749" s="155"/>
      <c r="G2749" s="155"/>
      <c r="H2749" s="155"/>
      <c r="I2749" s="155"/>
      <c r="J2749" s="155"/>
      <c r="K2749" s="170"/>
      <c r="L2749" s="155"/>
      <c r="M2749" s="1"/>
      <c r="P2749" s="295"/>
      <c r="Q2749" s="73"/>
      <c r="R2749" s="1"/>
      <c r="T2749" s="313"/>
      <c r="U2749" s="1"/>
      <c r="W2749" s="313"/>
      <c r="X2749" s="1"/>
    </row>
    <row r="2750" spans="1:27" x14ac:dyDescent="0.35">
      <c r="B2750" s="83" t="s">
        <v>4279</v>
      </c>
      <c r="D2750" s="295"/>
      <c r="F2750" s="413"/>
      <c r="Q2750" s="73"/>
      <c r="R2750" s="1"/>
      <c r="T2750" s="313" t="s">
        <v>604</v>
      </c>
      <c r="U2750" s="1" t="s">
        <v>4286</v>
      </c>
      <c r="V2750" t="s">
        <v>0</v>
      </c>
      <c r="W2750" s="313"/>
      <c r="X2750" s="1"/>
    </row>
    <row r="2751" spans="1:27" s="427" customFormat="1" ht="12" x14ac:dyDescent="0.3">
      <c r="A2751" s="428"/>
      <c r="B2751" s="429"/>
      <c r="F2751" s="430"/>
      <c r="L2751" s="432" t="s">
        <v>4295</v>
      </c>
      <c r="M2751" s="427" t="s">
        <v>4288</v>
      </c>
      <c r="Q2751" s="427" t="s">
        <v>4082</v>
      </c>
      <c r="R2751" s="431"/>
      <c r="U2751" s="431"/>
      <c r="X2751" s="431"/>
    </row>
    <row r="2752" spans="1:27" ht="36.5" x14ac:dyDescent="0.35">
      <c r="D2752" s="123" t="s">
        <v>3307</v>
      </c>
      <c r="E2752" s="123" t="s">
        <v>4280</v>
      </c>
      <c r="F2752" s="123" t="s">
        <v>4282</v>
      </c>
      <c r="H2752" s="123" t="s">
        <v>4281</v>
      </c>
      <c r="I2752" s="123" t="s">
        <v>4283</v>
      </c>
      <c r="J2752" s="123" t="s">
        <v>4284</v>
      </c>
      <c r="K2752" s="123" t="s">
        <v>4285</v>
      </c>
      <c r="L2752" s="123" t="s">
        <v>4287</v>
      </c>
      <c r="M2752" s="123" t="s">
        <v>4289</v>
      </c>
      <c r="O2752" s="123" t="s">
        <v>4290</v>
      </c>
      <c r="P2752" s="123" t="s">
        <v>4291</v>
      </c>
      <c r="Q2752" s="123" t="s">
        <v>4292</v>
      </c>
      <c r="S2752" s="123" t="s">
        <v>4293</v>
      </c>
      <c r="T2752" s="123" t="s">
        <v>4294</v>
      </c>
      <c r="V2752" s="123" t="s">
        <v>4091</v>
      </c>
      <c r="W2752" s="313"/>
      <c r="X2752" s="1"/>
    </row>
    <row r="2753" spans="2:25" x14ac:dyDescent="0.35">
      <c r="D2753" s="295" t="s">
        <v>4125</v>
      </c>
      <c r="E2753">
        <v>30</v>
      </c>
      <c r="F2753">
        <v>220</v>
      </c>
      <c r="H2753">
        <v>10</v>
      </c>
      <c r="I2753">
        <f>F2753*H2753</f>
        <v>2200</v>
      </c>
      <c r="J2753">
        <f>I2753-E2753</f>
        <v>2170</v>
      </c>
      <c r="K2753" s="12">
        <f>J2753/F2753</f>
        <v>9.8636363636363633</v>
      </c>
      <c r="L2753">
        <f>H2753-0.44</f>
        <v>9.56</v>
      </c>
      <c r="M2753">
        <f>F2753 * (H2753-L2753)</f>
        <v>96.799999999999898</v>
      </c>
      <c r="O2753">
        <v>200</v>
      </c>
      <c r="P2753">
        <f>H2753-L2753</f>
        <v>0.4399999999999995</v>
      </c>
      <c r="Q2753">
        <f>(F2753/1000000)*(P2753*1000000000)/O2753</f>
        <v>483.99999999999949</v>
      </c>
      <c r="S2753">
        <v>12</v>
      </c>
      <c r="T2753" s="13">
        <f>(S2753-H2753)/(Q2753/1000)</f>
        <v>4.1322314049586817</v>
      </c>
      <c r="V2753" s="295" t="s">
        <v>4296</v>
      </c>
      <c r="W2753" s="313"/>
      <c r="X2753" s="1"/>
    </row>
    <row r="2754" spans="2:25" x14ac:dyDescent="0.35">
      <c r="D2754" s="295"/>
      <c r="K2754" s="12"/>
      <c r="T2754" s="13"/>
      <c r="V2754" s="295"/>
      <c r="W2754" s="313"/>
      <c r="X2754" s="1"/>
    </row>
    <row r="2755" spans="2:25" x14ac:dyDescent="0.35">
      <c r="D2755" s="295" t="s">
        <v>6162</v>
      </c>
      <c r="K2755" s="12"/>
      <c r="T2755" s="13"/>
      <c r="V2755" s="295"/>
      <c r="W2755" s="313"/>
      <c r="X2755" s="1"/>
    </row>
    <row r="2756" spans="2:25" x14ac:dyDescent="0.35">
      <c r="D2756" s="295" t="s">
        <v>6163</v>
      </c>
      <c r="K2756" s="12"/>
      <c r="T2756" s="13"/>
      <c r="V2756" s="295"/>
      <c r="W2756" s="313"/>
      <c r="X2756" s="1"/>
    </row>
    <row r="2757" spans="2:25" x14ac:dyDescent="0.35">
      <c r="D2757" s="295" t="s">
        <v>6164</v>
      </c>
      <c r="K2757" s="12"/>
      <c r="T2757" s="13"/>
      <c r="V2757" s="295"/>
      <c r="W2757" s="313"/>
      <c r="X2757" s="1"/>
    </row>
    <row r="2758" spans="2:25" x14ac:dyDescent="0.35">
      <c r="D2758" s="295" t="s">
        <v>6165</v>
      </c>
      <c r="K2758" s="12"/>
      <c r="T2758" s="13"/>
      <c r="V2758" s="295"/>
      <c r="W2758" s="313"/>
      <c r="X2758" s="1"/>
    </row>
    <row r="2759" spans="2:25" x14ac:dyDescent="0.35">
      <c r="K2759" s="12"/>
      <c r="T2759" s="13"/>
      <c r="V2759" s="295"/>
      <c r="W2759" s="313"/>
      <c r="X2759" s="1"/>
    </row>
    <row r="2760" spans="2:25" x14ac:dyDescent="0.35">
      <c r="B2760" s="83" t="s">
        <v>3617</v>
      </c>
      <c r="D2760" s="628" t="s">
        <v>3625</v>
      </c>
      <c r="E2760" s="628"/>
      <c r="F2760" s="628"/>
      <c r="G2760" s="95"/>
      <c r="H2760" s="95"/>
      <c r="I2760" s="95" t="s">
        <v>3623</v>
      </c>
      <c r="J2760" s="629"/>
      <c r="K2760" s="95"/>
      <c r="L2760" s="95"/>
      <c r="M2760" s="95"/>
      <c r="N2760" s="95"/>
      <c r="O2760" s="95"/>
      <c r="P2760" s="95"/>
      <c r="Q2760" s="95"/>
      <c r="R2760" s="95"/>
      <c r="S2760" s="95"/>
      <c r="T2760" s="95"/>
      <c r="U2760" s="95"/>
      <c r="V2760" s="95"/>
      <c r="W2760" s="95"/>
      <c r="X2760" s="95"/>
      <c r="Y2760" s="95"/>
    </row>
    <row r="2761" spans="2:25" x14ac:dyDescent="0.35">
      <c r="D2761" s="628" t="s">
        <v>3624</v>
      </c>
      <c r="E2761" s="628"/>
      <c r="F2761" s="628"/>
      <c r="G2761" s="95"/>
      <c r="H2761" s="95"/>
      <c r="I2761" s="95" t="s">
        <v>3626</v>
      </c>
      <c r="J2761" s="629"/>
      <c r="K2761" s="95"/>
      <c r="L2761" s="95"/>
      <c r="M2761" s="95"/>
      <c r="N2761" s="95"/>
      <c r="O2761" s="95"/>
      <c r="P2761" s="95"/>
      <c r="Q2761" s="95"/>
      <c r="R2761" s="95"/>
      <c r="S2761" s="95"/>
      <c r="T2761" s="95"/>
      <c r="U2761" s="95"/>
      <c r="V2761" s="95"/>
      <c r="W2761" s="95"/>
      <c r="X2761" s="95"/>
      <c r="Y2761" s="95"/>
    </row>
    <row r="2762" spans="2:25" x14ac:dyDescent="0.35">
      <c r="D2762" s="628"/>
      <c r="E2762" s="628"/>
      <c r="F2762" s="628"/>
      <c r="G2762" s="95"/>
      <c r="H2762" s="95"/>
      <c r="I2762" s="95"/>
      <c r="J2762" s="629"/>
      <c r="K2762" s="95"/>
      <c r="L2762" s="95"/>
      <c r="M2762" s="95"/>
      <c r="N2762" s="95"/>
      <c r="O2762" s="95"/>
      <c r="P2762" s="95"/>
      <c r="Q2762" s="95"/>
      <c r="R2762" s="95"/>
      <c r="S2762" s="95"/>
      <c r="T2762" s="95"/>
      <c r="U2762" s="95"/>
      <c r="V2762" s="95"/>
      <c r="W2762" s="95"/>
      <c r="X2762" s="95"/>
      <c r="Y2762" s="95"/>
    </row>
    <row r="2763" spans="2:25" ht="24.5" x14ac:dyDescent="0.35">
      <c r="D2763" s="630" t="s">
        <v>3630</v>
      </c>
      <c r="E2763" s="631"/>
      <c r="F2763" s="630" t="s">
        <v>3618</v>
      </c>
      <c r="G2763" s="630" t="s">
        <v>3620</v>
      </c>
      <c r="H2763" s="95"/>
      <c r="I2763" s="630" t="s">
        <v>3622</v>
      </c>
      <c r="J2763" s="95"/>
      <c r="K2763" s="630" t="s">
        <v>3629</v>
      </c>
      <c r="L2763" s="95"/>
      <c r="M2763" s="630" t="s">
        <v>3627</v>
      </c>
      <c r="N2763" s="630" t="s">
        <v>3628</v>
      </c>
      <c r="O2763" s="95"/>
      <c r="P2763" s="630" t="s">
        <v>3834</v>
      </c>
      <c r="Q2763" s="630" t="s">
        <v>3835</v>
      </c>
      <c r="R2763" s="95"/>
      <c r="S2763" s="630" t="s">
        <v>3836</v>
      </c>
      <c r="T2763" s="630" t="s">
        <v>3837</v>
      </c>
      <c r="U2763" s="630" t="s">
        <v>3838</v>
      </c>
      <c r="V2763" s="95"/>
      <c r="W2763" s="95"/>
      <c r="X2763" s="95"/>
      <c r="Y2763" s="95"/>
    </row>
    <row r="2764" spans="2:25" s="577" customFormat="1" x14ac:dyDescent="0.35">
      <c r="B2764" s="593"/>
      <c r="D2764" s="95" t="s">
        <v>3107</v>
      </c>
      <c r="E2764" s="352"/>
      <c r="F2764" s="632">
        <v>75000</v>
      </c>
      <c r="G2764" s="633">
        <v>6300</v>
      </c>
      <c r="H2764" s="95"/>
      <c r="I2764" s="634">
        <v>0.3</v>
      </c>
      <c r="J2764" s="95"/>
      <c r="K2764" s="507">
        <f>(F2764/1000)/I2764</f>
        <v>250</v>
      </c>
      <c r="L2764" s="95"/>
      <c r="M2764" s="95">
        <v>0.1</v>
      </c>
      <c r="N2764" s="635">
        <f>I2764*(K2764/1000)</f>
        <v>7.4999999999999997E-2</v>
      </c>
      <c r="O2764" s="95"/>
      <c r="P2764" s="95">
        <v>700</v>
      </c>
      <c r="Q2764" s="423">
        <f>1000/P2764</f>
        <v>1.4285714285714286</v>
      </c>
      <c r="R2764" s="95"/>
      <c r="S2764" s="98">
        <f>1000*I2764/(Q2764/(K2764/1000))</f>
        <v>52.5</v>
      </c>
      <c r="T2764" s="95">
        <v>10</v>
      </c>
      <c r="U2764" s="95">
        <f>S2764*T2764</f>
        <v>525</v>
      </c>
      <c r="V2764" s="95"/>
      <c r="W2764" s="95"/>
      <c r="X2764" s="95"/>
      <c r="Y2764" s="95"/>
    </row>
    <row r="2765" spans="2:25" s="577" customFormat="1" x14ac:dyDescent="0.35">
      <c r="B2765" s="593"/>
      <c r="D2765" s="95" t="s">
        <v>122</v>
      </c>
      <c r="E2765" s="352"/>
      <c r="F2765" s="632">
        <v>75000</v>
      </c>
      <c r="G2765" s="633">
        <v>6300</v>
      </c>
      <c r="H2765" s="95"/>
      <c r="I2765" s="634">
        <v>4</v>
      </c>
      <c r="J2765" s="95"/>
      <c r="K2765" s="636">
        <f>(F2765/1000)/I2765</f>
        <v>18.75</v>
      </c>
      <c r="L2765" s="95"/>
      <c r="M2765" s="95">
        <v>0.1</v>
      </c>
      <c r="N2765" s="635">
        <f>I2765*(K2765/1000)</f>
        <v>7.4999999999999997E-2</v>
      </c>
      <c r="O2765" s="95"/>
      <c r="P2765" s="95">
        <v>700</v>
      </c>
      <c r="Q2765" s="423">
        <f>1000/P2765</f>
        <v>1.4285714285714286</v>
      </c>
      <c r="R2765" s="629"/>
      <c r="S2765" s="98">
        <f>1000*I2765/(Q2765/(K2765/1000))</f>
        <v>52.5</v>
      </c>
      <c r="T2765" s="95">
        <v>10</v>
      </c>
      <c r="U2765" s="95">
        <f>S2765*T2765</f>
        <v>525</v>
      </c>
      <c r="V2765" s="95"/>
      <c r="W2765" s="95"/>
      <c r="X2765" s="95"/>
      <c r="Y2765" s="95"/>
    </row>
    <row r="2766" spans="2:25" s="577" customFormat="1" x14ac:dyDescent="0.35">
      <c r="B2766" s="593"/>
      <c r="D2766" s="95" t="s">
        <v>5715</v>
      </c>
      <c r="E2766" s="352"/>
      <c r="F2766" s="632">
        <v>8000</v>
      </c>
      <c r="G2766" s="633">
        <v>300</v>
      </c>
      <c r="H2766" s="95"/>
      <c r="I2766" s="634">
        <v>3.2000000000000001E-2</v>
      </c>
      <c r="J2766" s="95"/>
      <c r="K2766" s="636">
        <f>(F2766/1000)/I2766</f>
        <v>250</v>
      </c>
      <c r="L2766" s="95"/>
      <c r="M2766" s="95">
        <v>0.1</v>
      </c>
      <c r="N2766" s="635">
        <f>I2766*(K2766/1000)</f>
        <v>8.0000000000000002E-3</v>
      </c>
      <c r="O2766" s="95"/>
      <c r="P2766" s="95">
        <v>700</v>
      </c>
      <c r="Q2766" s="423">
        <f>1000/P2766</f>
        <v>1.4285714285714286</v>
      </c>
      <c r="R2766" s="629"/>
      <c r="S2766" s="98">
        <f>1000*I2766/(Q2766/(K2766/1000))</f>
        <v>5.6</v>
      </c>
      <c r="T2766" s="95">
        <v>10</v>
      </c>
      <c r="U2766" s="95">
        <f>S2766*T2766</f>
        <v>56</v>
      </c>
      <c r="V2766" s="95"/>
      <c r="W2766" s="95"/>
      <c r="X2766" s="95"/>
      <c r="Y2766" s="95"/>
    </row>
    <row r="2767" spans="2:25" s="577" customFormat="1" x14ac:dyDescent="0.35">
      <c r="B2767" s="593"/>
      <c r="D2767" s="95" t="s">
        <v>5677</v>
      </c>
      <c r="E2767" s="352"/>
      <c r="F2767" s="632">
        <v>1400</v>
      </c>
      <c r="G2767" s="633">
        <v>130</v>
      </c>
      <c r="H2767" s="95"/>
      <c r="I2767" s="634">
        <v>0.01</v>
      </c>
      <c r="J2767" s="95"/>
      <c r="K2767" s="636">
        <f>(F2767/1000)/I2767</f>
        <v>140</v>
      </c>
      <c r="L2767" s="95"/>
      <c r="M2767" s="95"/>
      <c r="N2767" s="635"/>
      <c r="O2767" s="95"/>
      <c r="P2767" s="95"/>
      <c r="Q2767" s="423"/>
      <c r="R2767" s="629"/>
      <c r="S2767" s="98"/>
      <c r="T2767" s="95"/>
      <c r="U2767" s="95"/>
      <c r="V2767" s="95"/>
      <c r="W2767" s="95"/>
      <c r="X2767" s="95"/>
      <c r="Y2767" s="95"/>
    </row>
    <row r="2769" spans="2:21" x14ac:dyDescent="0.35">
      <c r="B2769" s="83" t="s">
        <v>9514</v>
      </c>
      <c r="F2769" s="309" t="s">
        <v>9530</v>
      </c>
    </row>
    <row r="2770" spans="2:21" x14ac:dyDescent="0.35">
      <c r="F2770" s="309"/>
    </row>
    <row r="2771" spans="2:21" x14ac:dyDescent="0.35">
      <c r="D2771" s="286" t="s">
        <v>9529</v>
      </c>
      <c r="F2771" s="95" t="s">
        <v>9526</v>
      </c>
      <c r="J2771" s="13">
        <v>2</v>
      </c>
      <c r="K2771" t="s">
        <v>2</v>
      </c>
      <c r="L2771" s="309" t="s">
        <v>9541</v>
      </c>
    </row>
    <row r="2772" spans="2:21" x14ac:dyDescent="0.35">
      <c r="F2772" s="95" t="s">
        <v>9527</v>
      </c>
      <c r="J2772" s="13">
        <v>2.2000000000000002</v>
      </c>
      <c r="K2772" t="s">
        <v>40</v>
      </c>
      <c r="L2772" s="309" t="s">
        <v>9530</v>
      </c>
    </row>
    <row r="2773" spans="2:21" x14ac:dyDescent="0.35">
      <c r="F2773" s="95" t="s">
        <v>9528</v>
      </c>
      <c r="J2773" s="13">
        <f>J2771/J2772</f>
        <v>0.90909090909090906</v>
      </c>
      <c r="K2773" t="s">
        <v>5</v>
      </c>
    </row>
    <row r="2774" spans="2:21" x14ac:dyDescent="0.35">
      <c r="F2774" s="95" t="s">
        <v>9531</v>
      </c>
      <c r="J2774" s="13">
        <f>J2773*J2771</f>
        <v>1.8181818181818181</v>
      </c>
      <c r="K2774" s="149" t="s">
        <v>4</v>
      </c>
    </row>
    <row r="2776" spans="2:21" x14ac:dyDescent="0.35">
      <c r="D2776" s="286" t="s">
        <v>1377</v>
      </c>
      <c r="F2776" s="95" t="s">
        <v>9508</v>
      </c>
      <c r="K2776" t="s">
        <v>9509</v>
      </c>
    </row>
    <row r="2777" spans="2:21" x14ac:dyDescent="0.35">
      <c r="D2777" s="187"/>
      <c r="F2777" s="95" t="s">
        <v>9511</v>
      </c>
      <c r="K2777" t="s">
        <v>9510</v>
      </c>
    </row>
    <row r="2778" spans="2:21" x14ac:dyDescent="0.35">
      <c r="D2778" s="187"/>
      <c r="F2778" s="95" t="s">
        <v>9513</v>
      </c>
      <c r="K2778" t="s">
        <v>9512</v>
      </c>
    </row>
    <row r="2779" spans="2:21" x14ac:dyDescent="0.35">
      <c r="D2779" s="187"/>
      <c r="F2779" s="95"/>
    </row>
    <row r="2780" spans="2:21" x14ac:dyDescent="0.35">
      <c r="B2780" s="83" t="s">
        <v>9532</v>
      </c>
      <c r="D2780" s="187"/>
      <c r="F2780" s="309" t="s">
        <v>9533</v>
      </c>
    </row>
    <row r="2781" spans="2:21" x14ac:dyDescent="0.35">
      <c r="D2781" s="187"/>
    </row>
    <row r="2782" spans="2:21" x14ac:dyDescent="0.35">
      <c r="D2782" s="286" t="s">
        <v>1377</v>
      </c>
      <c r="F2782" s="95" t="s">
        <v>9516</v>
      </c>
      <c r="J2782" s="53"/>
      <c r="O2782" s="10"/>
      <c r="P2782" t="s">
        <v>9515</v>
      </c>
      <c r="Q2782" s="12"/>
      <c r="S2782" s="295"/>
      <c r="T2782" s="295"/>
      <c r="U2782" s="295"/>
    </row>
    <row r="2783" spans="2:21" x14ac:dyDescent="0.35">
      <c r="D2783" s="187"/>
      <c r="F2783" t="s">
        <v>9524</v>
      </c>
      <c r="J2783" s="53"/>
      <c r="O2783" s="10"/>
      <c r="Q2783" s="12"/>
      <c r="S2783" s="295"/>
      <c r="T2783" s="295"/>
      <c r="U2783" s="295"/>
    </row>
    <row r="2784" spans="2:21" x14ac:dyDescent="0.35">
      <c r="F2784" s="95" t="s">
        <v>9518</v>
      </c>
      <c r="J2784" s="53"/>
      <c r="O2784" s="10"/>
      <c r="P2784" t="s">
        <v>9517</v>
      </c>
      <c r="Q2784" s="12"/>
      <c r="S2784" s="295"/>
      <c r="T2784" s="295"/>
      <c r="U2784" s="295"/>
    </row>
    <row r="2785" spans="1:28" x14ac:dyDescent="0.35">
      <c r="F2785" s="95" t="s">
        <v>9525</v>
      </c>
      <c r="J2785" s="53"/>
      <c r="O2785" s="10"/>
      <c r="Q2785" s="12"/>
      <c r="S2785" s="295"/>
      <c r="T2785" s="295"/>
      <c r="U2785" s="295"/>
    </row>
    <row r="2786" spans="1:28" x14ac:dyDescent="0.35">
      <c r="D2786" s="95"/>
      <c r="G2786" s="53"/>
      <c r="L2786" s="10"/>
      <c r="M2786" s="10"/>
      <c r="N2786" s="15"/>
      <c r="O2786" s="10"/>
      <c r="Q2786" s="12"/>
      <c r="S2786" s="295"/>
      <c r="T2786" s="295"/>
      <c r="U2786" s="295"/>
    </row>
    <row r="2787" spans="1:28" s="5" customFormat="1" x14ac:dyDescent="0.35">
      <c r="A2787" s="86" t="s">
        <v>8868</v>
      </c>
    </row>
    <row r="2788" spans="1:28" x14ac:dyDescent="0.35">
      <c r="D2788" s="155"/>
      <c r="E2788" s="12"/>
      <c r="F2788" s="1"/>
      <c r="G2788" s="155"/>
      <c r="I2788" s="496"/>
      <c r="J2788" s="127"/>
      <c r="L2788" s="155"/>
      <c r="M2788" s="1"/>
      <c r="T2788" s="1"/>
      <c r="U2788" s="1"/>
      <c r="W2788" s="313"/>
      <c r="X2788" s="1"/>
    </row>
    <row r="2789" spans="1:28" ht="24.5" x14ac:dyDescent="0.35">
      <c r="B2789" s="83" t="s">
        <v>6660</v>
      </c>
      <c r="D2789" s="155"/>
      <c r="E2789" s="12"/>
      <c r="F2789" s="1"/>
      <c r="G2789" s="155"/>
      <c r="I2789" s="496"/>
      <c r="J2789" s="654" t="s">
        <v>6606</v>
      </c>
      <c r="K2789" s="654" t="s">
        <v>6607</v>
      </c>
      <c r="L2789" s="654" t="s">
        <v>6608</v>
      </c>
      <c r="M2789" s="1"/>
      <c r="N2789" s="654" t="s">
        <v>7308</v>
      </c>
      <c r="R2789" s="7"/>
      <c r="U2789" s="655" t="s">
        <v>4738</v>
      </c>
      <c r="W2789" s="12" t="s">
        <v>0</v>
      </c>
      <c r="X2789" s="1"/>
    </row>
    <row r="2790" spans="1:28" ht="16.5" x14ac:dyDescent="0.45">
      <c r="D2790" t="s">
        <v>6330</v>
      </c>
      <c r="E2790" s="12" t="s">
        <v>6333</v>
      </c>
      <c r="F2790" s="1"/>
      <c r="G2790" s="155"/>
      <c r="I2790" s="496"/>
      <c r="J2790" s="220">
        <v>-0.1</v>
      </c>
      <c r="K2790" s="220">
        <v>0</v>
      </c>
      <c r="L2790" s="424">
        <v>0.1</v>
      </c>
      <c r="M2790" s="12"/>
      <c r="Q2790" s="12" t="s">
        <v>6342</v>
      </c>
      <c r="R2790" s="12"/>
      <c r="U2790" s="12" t="s">
        <v>6348</v>
      </c>
      <c r="V2790" s="12"/>
      <c r="W2790" s="12"/>
      <c r="X2790" s="12"/>
      <c r="Y2790" s="12"/>
      <c r="Z2790" s="12"/>
      <c r="AA2790" s="12"/>
      <c r="AB2790" s="12"/>
    </row>
    <row r="2791" spans="1:28" ht="16.5" x14ac:dyDescent="0.45">
      <c r="D2791" t="s">
        <v>6331</v>
      </c>
      <c r="E2791" s="12" t="s">
        <v>6332</v>
      </c>
      <c r="F2791" s="1"/>
      <c r="G2791" s="155"/>
      <c r="I2791" s="496"/>
      <c r="J2791" s="220">
        <v>3</v>
      </c>
      <c r="K2791" s="220">
        <v>3.3</v>
      </c>
      <c r="L2791" s="424">
        <v>3.6</v>
      </c>
      <c r="M2791" s="12"/>
      <c r="N2791" s="162">
        <f>F2815*1000</f>
        <v>12900</v>
      </c>
      <c r="Q2791" s="12" t="s">
        <v>6653</v>
      </c>
      <c r="R2791" s="12"/>
      <c r="U2791" s="12" t="s">
        <v>6593</v>
      </c>
      <c r="V2791" s="12"/>
      <c r="W2791" s="12"/>
      <c r="X2791" s="12"/>
      <c r="Y2791" s="12"/>
      <c r="Z2791" s="12"/>
      <c r="AA2791" s="12"/>
      <c r="AB2791" s="12"/>
    </row>
    <row r="2792" spans="1:28" ht="16.5" x14ac:dyDescent="0.45">
      <c r="D2792" t="s">
        <v>6654</v>
      </c>
      <c r="E2792" s="12" t="s">
        <v>6655</v>
      </c>
      <c r="F2792" s="1"/>
      <c r="G2792" s="155"/>
      <c r="I2792" s="496"/>
      <c r="J2792" s="220"/>
      <c r="K2792" s="220"/>
      <c r="L2792" s="424"/>
      <c r="M2792" s="12"/>
      <c r="N2792">
        <v>0.5</v>
      </c>
      <c r="Q2792" s="12" t="s">
        <v>6656</v>
      </c>
      <c r="R2792" s="12"/>
      <c r="U2792" s="12" t="s">
        <v>6350</v>
      </c>
      <c r="V2792" s="12"/>
      <c r="W2792" s="12"/>
      <c r="X2792" s="12"/>
      <c r="Y2792" s="12"/>
      <c r="Z2792" s="12"/>
      <c r="AA2792" s="12"/>
      <c r="AB2792" s="12"/>
    </row>
    <row r="2793" spans="1:28" ht="16.5" x14ac:dyDescent="0.45">
      <c r="D2793" t="s">
        <v>6334</v>
      </c>
      <c r="E2793" s="12" t="s">
        <v>6335</v>
      </c>
      <c r="F2793" s="1"/>
      <c r="G2793" s="155"/>
      <c r="I2793" s="496"/>
      <c r="J2793" s="220"/>
      <c r="K2793" s="220"/>
      <c r="L2793" s="424"/>
      <c r="M2793" s="12"/>
      <c r="Q2793" s="12"/>
      <c r="R2793" s="12"/>
      <c r="U2793" s="12"/>
      <c r="V2793" s="12"/>
      <c r="W2793" s="12"/>
      <c r="X2793" s="12"/>
      <c r="Y2793" s="12"/>
      <c r="Z2793" s="12"/>
      <c r="AA2793" s="12"/>
      <c r="AB2793" s="12"/>
    </row>
    <row r="2794" spans="1:28" ht="16.5" x14ac:dyDescent="0.45">
      <c r="D2794" t="s">
        <v>6336</v>
      </c>
      <c r="E2794" s="12" t="s">
        <v>6337</v>
      </c>
      <c r="F2794" s="1"/>
      <c r="G2794" s="155"/>
      <c r="H2794" s="12"/>
      <c r="I2794" s="496"/>
      <c r="J2794" s="220">
        <v>3.13</v>
      </c>
      <c r="K2794" s="220">
        <v>3.3</v>
      </c>
      <c r="L2794" s="424">
        <v>3.63</v>
      </c>
      <c r="M2794" s="12"/>
      <c r="Q2794" s="12"/>
      <c r="R2794" s="12"/>
      <c r="U2794" s="12" t="s">
        <v>6348</v>
      </c>
      <c r="V2794" s="12"/>
      <c r="W2794" s="12"/>
      <c r="X2794" s="12"/>
      <c r="Y2794" s="12"/>
      <c r="Z2794" s="12"/>
      <c r="AA2794" s="12"/>
      <c r="AB2794" s="12"/>
    </row>
    <row r="2795" spans="1:28" ht="16.5" x14ac:dyDescent="0.45">
      <c r="D2795" t="s">
        <v>6339</v>
      </c>
      <c r="E2795" s="12" t="s">
        <v>6338</v>
      </c>
      <c r="F2795" s="1"/>
      <c r="G2795" s="155"/>
      <c r="I2795" s="496"/>
      <c r="J2795" s="220"/>
      <c r="K2795" s="220">
        <v>1.3</v>
      </c>
      <c r="L2795" s="424"/>
      <c r="M2795" s="12"/>
      <c r="Q2795" s="12" t="s">
        <v>6343</v>
      </c>
      <c r="R2795" s="12"/>
      <c r="U2795" s="12" t="s">
        <v>6348</v>
      </c>
      <c r="V2795" s="12"/>
      <c r="W2795" s="12"/>
      <c r="X2795" s="12"/>
      <c r="Y2795" s="12"/>
      <c r="Z2795" s="12"/>
      <c r="AA2795" s="12"/>
      <c r="AB2795" s="12"/>
    </row>
    <row r="2796" spans="1:28" ht="16.5" x14ac:dyDescent="0.45">
      <c r="D2796" t="s">
        <v>6341</v>
      </c>
      <c r="E2796" s="12" t="s">
        <v>6340</v>
      </c>
      <c r="F2796" s="1"/>
      <c r="G2796" s="155"/>
      <c r="I2796" s="496"/>
      <c r="J2796" s="220">
        <v>1.95</v>
      </c>
      <c r="K2796" s="220"/>
      <c r="L2796" s="424">
        <v>3.63</v>
      </c>
      <c r="M2796" s="12"/>
      <c r="Q2796" s="12"/>
      <c r="R2796" s="12"/>
      <c r="U2796" s="12" t="s">
        <v>6348</v>
      </c>
      <c r="V2796" s="12"/>
      <c r="W2796" s="12"/>
      <c r="X2796" s="12"/>
      <c r="Y2796" s="12"/>
      <c r="Z2796" s="12"/>
      <c r="AA2796" s="12"/>
      <c r="AB2796" s="12"/>
    </row>
    <row r="2797" spans="1:28" x14ac:dyDescent="0.35">
      <c r="D2797" s="155"/>
      <c r="E2797" s="12"/>
      <c r="F2797" s="1"/>
      <c r="G2797" s="155"/>
      <c r="I2797" s="496"/>
      <c r="J2797" s="335"/>
      <c r="K2797" s="335"/>
      <c r="L2797" s="476"/>
      <c r="M2797" s="12"/>
      <c r="Q2797" s="12"/>
      <c r="R2797" s="12"/>
      <c r="U2797" s="12"/>
      <c r="V2797" s="12"/>
      <c r="W2797" s="12"/>
      <c r="X2797" s="12"/>
      <c r="Y2797" s="12"/>
      <c r="Z2797" s="12"/>
      <c r="AA2797" s="12"/>
      <c r="AB2797" s="12"/>
    </row>
    <row r="2798" spans="1:28" x14ac:dyDescent="0.35">
      <c r="B2798" s="83" t="s">
        <v>6661</v>
      </c>
      <c r="D2798" s="155"/>
      <c r="E2798" s="12"/>
      <c r="F2798" s="1"/>
      <c r="G2798" s="155"/>
      <c r="I2798" s="496"/>
      <c r="J2798" s="335"/>
      <c r="K2798" s="335"/>
      <c r="L2798" s="476"/>
      <c r="M2798" s="12"/>
      <c r="Q2798" s="12"/>
      <c r="R2798" s="12"/>
      <c r="U2798" s="12"/>
      <c r="V2798" s="12"/>
      <c r="W2798" s="12"/>
      <c r="X2798" s="12"/>
      <c r="Y2798" s="12"/>
      <c r="Z2798" s="12"/>
      <c r="AA2798" s="12"/>
      <c r="AB2798" s="12"/>
    </row>
    <row r="2799" spans="1:28" ht="16.5" x14ac:dyDescent="0.45">
      <c r="D2799" t="s">
        <v>6349</v>
      </c>
      <c r="E2799" s="12" t="s">
        <v>6657</v>
      </c>
      <c r="F2799" s="1"/>
      <c r="G2799" s="155"/>
      <c r="I2799" s="496"/>
      <c r="J2799" s="335"/>
      <c r="K2799" s="335"/>
      <c r="L2799" s="476"/>
      <c r="M2799" s="12"/>
      <c r="Q2799" s="12"/>
      <c r="R2799" s="12"/>
      <c r="U2799" s="12" t="s">
        <v>6350</v>
      </c>
      <c r="V2799" s="12"/>
      <c r="W2799" s="12"/>
      <c r="X2799" s="12"/>
      <c r="Y2799" s="12"/>
      <c r="Z2799" s="12"/>
      <c r="AA2799" s="12"/>
      <c r="AB2799" s="12"/>
    </row>
    <row r="2800" spans="1:28" ht="16.5" x14ac:dyDescent="0.45">
      <c r="E2800" s="10">
        <f>3%*3.5</f>
        <v>0.105</v>
      </c>
      <c r="F2800" s="12" t="s">
        <v>6658</v>
      </c>
      <c r="G2800" s="155"/>
      <c r="H2800" s="10"/>
      <c r="I2800" s="10">
        <f>97%*3.5</f>
        <v>3.395</v>
      </c>
      <c r="J2800" s="12" t="s">
        <v>6659</v>
      </c>
      <c r="K2800" s="155"/>
      <c r="L2800" s="476"/>
      <c r="M2800" s="12"/>
      <c r="Q2800" s="12"/>
      <c r="R2800" s="12"/>
      <c r="U2800" s="12"/>
      <c r="V2800" s="12"/>
      <c r="W2800" s="12"/>
      <c r="X2800" s="12"/>
      <c r="Y2800" s="12"/>
      <c r="Z2800" s="12"/>
      <c r="AA2800" s="12"/>
      <c r="AB2800" s="12"/>
    </row>
    <row r="2801" spans="2:28" x14ac:dyDescent="0.35">
      <c r="E2801" s="10" t="s">
        <v>7311</v>
      </c>
      <c r="F2801" s="12"/>
      <c r="G2801" s="155"/>
      <c r="H2801" s="10"/>
      <c r="I2801" s="10"/>
      <c r="J2801" s="12"/>
      <c r="K2801" s="155"/>
      <c r="L2801" s="476"/>
      <c r="M2801" s="12"/>
      <c r="Q2801" s="12"/>
      <c r="R2801" s="12"/>
      <c r="U2801" s="12"/>
      <c r="V2801" s="12"/>
      <c r="W2801" s="12"/>
      <c r="X2801" s="12"/>
      <c r="Y2801" s="12"/>
      <c r="Z2801" s="12"/>
      <c r="AA2801" s="12"/>
      <c r="AB2801" s="12"/>
    </row>
    <row r="2802" spans="2:28" x14ac:dyDescent="0.35">
      <c r="E2802" s="12" t="s">
        <v>6374</v>
      </c>
      <c r="F2802" s="1"/>
      <c r="G2802" s="155"/>
      <c r="I2802" s="496"/>
      <c r="J2802" s="335"/>
      <c r="K2802" s="335"/>
      <c r="L2802" s="476"/>
      <c r="M2802" s="12"/>
      <c r="Q2802" s="12"/>
      <c r="R2802" s="12"/>
      <c r="U2802" s="12" t="s">
        <v>6352</v>
      </c>
      <c r="V2802" s="12"/>
      <c r="W2802" s="12"/>
      <c r="X2802" s="12"/>
      <c r="Y2802" s="12"/>
      <c r="Z2802" s="12"/>
      <c r="AA2802" s="12"/>
      <c r="AB2802" s="12"/>
    </row>
    <row r="2803" spans="2:28" ht="16.5" x14ac:dyDescent="0.45">
      <c r="E2803" s="12" t="s">
        <v>7292</v>
      </c>
      <c r="F2803" s="1"/>
      <c r="G2803" s="155"/>
      <c r="I2803" s="496"/>
      <c r="J2803" s="335"/>
      <c r="K2803" s="335"/>
      <c r="L2803" s="476"/>
      <c r="M2803" s="12"/>
      <c r="Q2803" s="12"/>
      <c r="R2803" s="12"/>
      <c r="U2803" s="12" t="s">
        <v>6593</v>
      </c>
      <c r="V2803" s="12"/>
      <c r="W2803" s="12"/>
      <c r="X2803" s="12"/>
      <c r="Y2803" s="12"/>
      <c r="Z2803" s="12"/>
      <c r="AA2803" s="12"/>
      <c r="AB2803" s="12"/>
    </row>
    <row r="2804" spans="2:28" ht="16.5" x14ac:dyDescent="0.45">
      <c r="E2804" s="12" t="s">
        <v>7309</v>
      </c>
      <c r="F2804" s="1"/>
      <c r="G2804" s="155"/>
      <c r="I2804" s="496"/>
      <c r="J2804" s="335"/>
      <c r="K2804" s="335"/>
      <c r="L2804" s="476"/>
      <c r="M2804" s="12"/>
      <c r="Q2804" s="12"/>
      <c r="R2804" s="12"/>
      <c r="U2804" s="12" t="s">
        <v>6350</v>
      </c>
      <c r="V2804" s="12"/>
      <c r="W2804" s="12"/>
      <c r="X2804" s="12"/>
      <c r="Y2804" s="12"/>
      <c r="Z2804" s="12"/>
      <c r="AA2804" s="12"/>
      <c r="AB2804" s="12"/>
    </row>
    <row r="2805" spans="2:28" x14ac:dyDescent="0.35">
      <c r="E2805" s="12" t="s">
        <v>7486</v>
      </c>
      <c r="F2805" s="1"/>
      <c r="G2805" s="155"/>
      <c r="I2805" s="496"/>
      <c r="J2805" s="335"/>
      <c r="K2805" s="335"/>
      <c r="L2805" s="476"/>
      <c r="M2805" s="12"/>
      <c r="Q2805" s="12"/>
      <c r="R2805" s="12"/>
      <c r="U2805" s="12"/>
      <c r="V2805" s="12"/>
      <c r="W2805" s="12"/>
      <c r="X2805" s="12"/>
      <c r="Y2805" s="12"/>
      <c r="Z2805" s="12"/>
      <c r="AA2805" s="12"/>
      <c r="AB2805" s="12"/>
    </row>
    <row r="2806" spans="2:28" x14ac:dyDescent="0.35">
      <c r="E2806" s="12"/>
      <c r="F2806" s="1"/>
      <c r="G2806" s="155"/>
      <c r="I2806" s="496"/>
      <c r="J2806" s="335"/>
      <c r="K2806" s="335"/>
      <c r="L2806" s="476"/>
      <c r="M2806" s="12"/>
      <c r="Q2806" s="12"/>
      <c r="R2806" s="12"/>
      <c r="U2806" s="12"/>
      <c r="V2806" s="12"/>
      <c r="W2806" s="12"/>
      <c r="X2806" s="12"/>
      <c r="Y2806" s="12"/>
      <c r="Z2806" s="12"/>
      <c r="AA2806" s="12"/>
      <c r="AB2806" s="12"/>
    </row>
    <row r="2807" spans="2:28" ht="16.5" x14ac:dyDescent="0.45">
      <c r="D2807" t="s">
        <v>6654</v>
      </c>
      <c r="E2807" s="12" t="s">
        <v>7310</v>
      </c>
      <c r="F2807" s="1"/>
      <c r="G2807" s="155"/>
      <c r="I2807" s="496"/>
      <c r="J2807" s="335"/>
      <c r="K2807" s="335"/>
      <c r="L2807" s="476"/>
      <c r="M2807" s="12"/>
      <c r="Q2807" s="12"/>
      <c r="R2807" s="12"/>
      <c r="U2807" s="12" t="s">
        <v>6350</v>
      </c>
      <c r="V2807" s="12"/>
      <c r="W2807" s="12"/>
      <c r="X2807" s="12"/>
      <c r="Y2807" s="12"/>
      <c r="Z2807" s="12"/>
      <c r="AA2807" s="12"/>
      <c r="AB2807" s="12"/>
    </row>
    <row r="2808" spans="2:28" x14ac:dyDescent="0.35">
      <c r="E2808" s="12"/>
      <c r="F2808" s="1"/>
      <c r="G2808" s="155"/>
      <c r="I2808" s="496"/>
      <c r="J2808" s="335"/>
      <c r="K2808" s="335"/>
      <c r="L2808" s="476"/>
      <c r="M2808" s="12"/>
      <c r="Q2808" s="12"/>
      <c r="R2808" s="12"/>
      <c r="U2808" s="12"/>
      <c r="V2808" s="12"/>
      <c r="W2808" s="12"/>
      <c r="X2808" s="12"/>
      <c r="Y2808" s="12"/>
      <c r="Z2808" s="12"/>
      <c r="AA2808" s="12"/>
      <c r="AB2808" s="12"/>
    </row>
    <row r="2809" spans="2:28" ht="16.5" x14ac:dyDescent="0.45">
      <c r="B2809" s="83" t="s">
        <v>6794</v>
      </c>
      <c r="E2809" s="12"/>
      <c r="F2809" s="1"/>
      <c r="G2809" s="155"/>
      <c r="I2809" s="496"/>
      <c r="J2809" s="335"/>
      <c r="K2809" s="335"/>
      <c r="L2809" s="476"/>
      <c r="M2809" s="12"/>
      <c r="Q2809" s="12"/>
      <c r="R2809" s="12"/>
      <c r="U2809" s="12"/>
      <c r="V2809" s="12"/>
      <c r="W2809" s="12"/>
      <c r="X2809" s="12"/>
      <c r="Y2809" s="12"/>
      <c r="Z2809" s="12"/>
      <c r="AA2809" s="12"/>
      <c r="AB2809" s="12"/>
    </row>
    <row r="2810" spans="2:28" x14ac:dyDescent="0.35">
      <c r="D2810" s="307" t="s">
        <v>1834</v>
      </c>
      <c r="E2810" s="307" t="s">
        <v>6381</v>
      </c>
      <c r="F2810" s="307" t="s">
        <v>6382</v>
      </c>
      <c r="G2810" s="155"/>
      <c r="I2810" s="496"/>
      <c r="J2810" s="335"/>
      <c r="K2810" s="335"/>
      <c r="L2810" s="476"/>
      <c r="M2810" s="12"/>
      <c r="Q2810" s="12"/>
      <c r="R2810" s="12"/>
      <c r="U2810" s="12"/>
      <c r="V2810" s="12"/>
      <c r="W2810" s="12"/>
      <c r="X2810" s="12"/>
      <c r="Y2810" s="12"/>
      <c r="Z2810" s="12"/>
      <c r="AA2810" s="12"/>
      <c r="AB2810" s="12"/>
    </row>
    <row r="2811" spans="2:28" x14ac:dyDescent="0.35">
      <c r="D2811">
        <v>0.15</v>
      </c>
      <c r="E2811">
        <v>2</v>
      </c>
      <c r="F2811">
        <f>E2811*D2811</f>
        <v>0.3</v>
      </c>
      <c r="G2811" s="12" t="s">
        <v>6375</v>
      </c>
      <c r="I2811" s="496"/>
      <c r="J2811" s="335"/>
      <c r="K2811" s="335"/>
      <c r="L2811" s="476"/>
      <c r="M2811" s="12"/>
      <c r="Q2811" s="12"/>
      <c r="R2811" s="12"/>
      <c r="U2811" s="12" t="s">
        <v>6376</v>
      </c>
      <c r="V2811" s="12"/>
      <c r="W2811" s="12"/>
      <c r="X2811" s="12"/>
      <c r="Y2811" s="12"/>
      <c r="Z2811" s="12"/>
      <c r="AA2811" s="12"/>
      <c r="AB2811" s="12"/>
    </row>
    <row r="2812" spans="2:28" x14ac:dyDescent="0.35">
      <c r="D2812">
        <v>0.3</v>
      </c>
      <c r="E2812">
        <v>2</v>
      </c>
      <c r="F2812">
        <f t="shared" ref="F2812:F2814" si="122">E2812*D2812</f>
        <v>0.6</v>
      </c>
      <c r="G2812" s="12" t="s">
        <v>6377</v>
      </c>
      <c r="I2812" s="496"/>
      <c r="J2812" s="335"/>
      <c r="K2812" s="335"/>
      <c r="L2812" s="476"/>
      <c r="M2812" s="12"/>
      <c r="Q2812" s="12"/>
      <c r="R2812" s="12"/>
      <c r="U2812" s="12" t="s">
        <v>6378</v>
      </c>
      <c r="V2812" s="12"/>
      <c r="W2812" s="12"/>
      <c r="X2812" s="12"/>
      <c r="Y2812" s="12"/>
      <c r="Z2812" s="12"/>
      <c r="AA2812" s="12"/>
      <c r="AB2812" s="12"/>
    </row>
    <row r="2813" spans="2:28" x14ac:dyDescent="0.35">
      <c r="D2813">
        <v>4</v>
      </c>
      <c r="E2813">
        <v>2</v>
      </c>
      <c r="F2813">
        <f t="shared" si="122"/>
        <v>8</v>
      </c>
      <c r="G2813" s="12" t="s">
        <v>6379</v>
      </c>
      <c r="V2813" s="12"/>
      <c r="W2813" s="12"/>
      <c r="X2813" s="12"/>
      <c r="Y2813" s="12"/>
      <c r="Z2813" s="12"/>
      <c r="AA2813" s="12"/>
      <c r="AB2813" s="12"/>
    </row>
    <row r="2814" spans="2:28" x14ac:dyDescent="0.35">
      <c r="D2814" s="4">
        <v>2</v>
      </c>
      <c r="E2814" s="4">
        <v>2</v>
      </c>
      <c r="F2814" s="4">
        <f t="shared" si="122"/>
        <v>4</v>
      </c>
      <c r="G2814" s="426" t="s">
        <v>6380</v>
      </c>
      <c r="H2814" s="4"/>
      <c r="V2814" s="12"/>
      <c r="W2814" s="12"/>
      <c r="X2814" s="12"/>
      <c r="Y2814" s="12"/>
      <c r="Z2814" s="12"/>
      <c r="AA2814" s="12"/>
      <c r="AB2814" s="12"/>
    </row>
    <row r="2815" spans="2:28" x14ac:dyDescent="0.35">
      <c r="E2815" s="12"/>
      <c r="F2815" s="19">
        <f>SUM(F2811:F2814)</f>
        <v>12.9</v>
      </c>
      <c r="G2815" s="12" t="s">
        <v>507</v>
      </c>
      <c r="V2815" s="12"/>
      <c r="W2815" s="12"/>
      <c r="X2815" s="12"/>
      <c r="Y2815" s="12"/>
      <c r="Z2815" s="12"/>
      <c r="AA2815" s="12"/>
      <c r="AB2815" s="12"/>
    </row>
    <row r="2816" spans="2:28" x14ac:dyDescent="0.35">
      <c r="D2816" s="155"/>
      <c r="E2816" s="12"/>
      <c r="F2816" s="1"/>
      <c r="G2816" s="155"/>
      <c r="I2816" s="496"/>
      <c r="J2816" s="335"/>
      <c r="K2816" s="335"/>
      <c r="L2816" s="476"/>
      <c r="M2816" s="12"/>
      <c r="Q2816" s="12"/>
      <c r="R2816" s="12"/>
      <c r="U2816" s="12"/>
      <c r="V2816" s="12"/>
      <c r="W2816" s="12"/>
      <c r="X2816" s="12"/>
      <c r="Y2816" s="12"/>
      <c r="Z2816" s="12"/>
      <c r="AA2816" s="12"/>
      <c r="AB2816" s="12"/>
    </row>
    <row r="2817" spans="2:24" ht="28" customHeight="1" x14ac:dyDescent="0.35">
      <c r="B2817" s="83" t="s">
        <v>6613</v>
      </c>
      <c r="E2817" s="307" t="s">
        <v>6901</v>
      </c>
      <c r="F2817" s="307" t="s">
        <v>6902</v>
      </c>
      <c r="H2817" s="307" t="s">
        <v>4899</v>
      </c>
      <c r="I2817" s="307" t="s">
        <v>4898</v>
      </c>
      <c r="K2817" s="307" t="s">
        <v>6897</v>
      </c>
      <c r="L2817" s="307" t="s">
        <v>6898</v>
      </c>
      <c r="N2817" s="307" t="s">
        <v>4739</v>
      </c>
      <c r="R2817" s="170"/>
      <c r="W2817" s="1"/>
      <c r="X2817" s="1"/>
    </row>
    <row r="2818" spans="2:24" x14ac:dyDescent="0.35">
      <c r="D2818" t="s">
        <v>2629</v>
      </c>
      <c r="E2818" s="10">
        <f>$G$2925</f>
        <v>3.2009999999999996</v>
      </c>
      <c r="F2818" s="10">
        <f>$I$2925</f>
        <v>3.399</v>
      </c>
      <c r="H2818" s="413">
        <f>E2818*0.36</f>
        <v>1.1523599999999998</v>
      </c>
      <c r="I2818" s="155">
        <f>F2818*0.6</f>
        <v>2.0394000000000001</v>
      </c>
      <c r="K2818" s="155">
        <v>-0.3</v>
      </c>
      <c r="L2818" s="236">
        <f>E2818+0.3</f>
        <v>3.5009999999999994</v>
      </c>
      <c r="N2818" s="155">
        <v>1</v>
      </c>
      <c r="R2818" s="170"/>
      <c r="U2818" s="12" t="s">
        <v>6895</v>
      </c>
      <c r="W2818" s="1"/>
      <c r="X2818" s="1"/>
    </row>
    <row r="2819" spans="2:24" x14ac:dyDescent="0.35">
      <c r="E2819" s="295"/>
      <c r="H2819" s="155"/>
      <c r="I2819" s="155"/>
      <c r="K2819" s="155"/>
      <c r="L2819" s="155"/>
      <c r="Q2819" s="155"/>
      <c r="R2819" s="155"/>
      <c r="S2819" s="155"/>
      <c r="T2819" s="155"/>
      <c r="U2819" s="170"/>
      <c r="W2819" s="1"/>
      <c r="X2819" s="1"/>
    </row>
    <row r="2820" spans="2:24" ht="24.5" x14ac:dyDescent="0.35">
      <c r="E2820" s="307" t="s">
        <v>6901</v>
      </c>
      <c r="F2820" s="307" t="s">
        <v>6902</v>
      </c>
      <c r="H2820" s="307" t="s">
        <v>6896</v>
      </c>
      <c r="I2820" s="307" t="s">
        <v>8971</v>
      </c>
      <c r="K2820" s="307" t="s">
        <v>6899</v>
      </c>
      <c r="S2820" s="155"/>
      <c r="T2820" s="155"/>
      <c r="U2820" s="12" t="s">
        <v>6895</v>
      </c>
      <c r="W2820" s="1"/>
      <c r="X2820" s="1"/>
    </row>
    <row r="2821" spans="2:24" x14ac:dyDescent="0.35">
      <c r="D2821" t="s">
        <v>2958</v>
      </c>
      <c r="E2821" s="10">
        <f>$G$2925</f>
        <v>3.2009999999999996</v>
      </c>
      <c r="F2821" s="10">
        <f>$I$2925</f>
        <v>3.399</v>
      </c>
      <c r="H2821" s="236">
        <f>E2821-0.4</f>
        <v>2.8009999999999997</v>
      </c>
      <c r="I2821" s="236">
        <v>2.4</v>
      </c>
      <c r="K2821" s="413">
        <v>0.4</v>
      </c>
      <c r="M2821" s="295" t="s">
        <v>6900</v>
      </c>
      <c r="P2821" s="155"/>
      <c r="R2821" s="155"/>
      <c r="T2821" s="1"/>
      <c r="U2821" s="1"/>
      <c r="W2821" s="313"/>
      <c r="X2821" s="1"/>
    </row>
    <row r="2822" spans="2:24" x14ac:dyDescent="0.35">
      <c r="F2822" s="155"/>
      <c r="G2822" s="155"/>
      <c r="H2822" s="155"/>
      <c r="I2822" s="413"/>
      <c r="J2822" s="155"/>
      <c r="K2822" s="155"/>
      <c r="L2822" s="155"/>
      <c r="M2822" s="1"/>
      <c r="S2822" s="73"/>
      <c r="T2822" s="1"/>
      <c r="U2822" s="1"/>
      <c r="W2822" s="313"/>
      <c r="X2822" s="1"/>
    </row>
    <row r="2823" spans="2:24" ht="25.5" x14ac:dyDescent="0.35">
      <c r="B2823" s="83" t="s">
        <v>8869</v>
      </c>
      <c r="D2823" s="307" t="s">
        <v>6568</v>
      </c>
      <c r="F2823" s="307" t="s">
        <v>6571</v>
      </c>
      <c r="G2823" s="123" t="s">
        <v>2957</v>
      </c>
      <c r="H2823" s="123" t="s">
        <v>6570</v>
      </c>
      <c r="I2823" s="123" t="s">
        <v>6569</v>
      </c>
      <c r="J2823" s="123" t="str">
        <f>"+-total max change"</f>
        <v>+-total max change</v>
      </c>
      <c r="L2823" s="123" t="s">
        <v>6577</v>
      </c>
      <c r="M2823" s="123" t="s">
        <v>6572</v>
      </c>
      <c r="N2823" s="123" t="s">
        <v>6573</v>
      </c>
      <c r="P2823" s="123" t="s">
        <v>6683</v>
      </c>
      <c r="S2823" s="123" t="s">
        <v>6616</v>
      </c>
      <c r="U2823" s="1"/>
      <c r="W2823" s="313"/>
      <c r="X2823" s="1"/>
    </row>
    <row r="2824" spans="2:24" x14ac:dyDescent="0.35">
      <c r="D2824" s="295" t="s">
        <v>6574</v>
      </c>
      <c r="F2824" s="10">
        <v>3.3</v>
      </c>
      <c r="G2824" s="671">
        <v>1E-3</v>
      </c>
      <c r="H2824" s="155">
        <v>8</v>
      </c>
      <c r="I2824" s="155">
        <v>50</v>
      </c>
      <c r="J2824" s="49">
        <f>G2824+(H2824/1000000)*I2824</f>
        <v>1.4E-3</v>
      </c>
      <c r="L2824" s="155">
        <v>5.0000000000000001E-3</v>
      </c>
      <c r="M2824" s="236">
        <f>F2824*(1-J2824)-L2824</f>
        <v>3.2903799999999999</v>
      </c>
      <c r="N2824" s="236">
        <f>F2824*(1+J2824)+L2824</f>
        <v>3.3096199999999998</v>
      </c>
      <c r="P2824" s="49">
        <f>N2824/F2824-1</f>
        <v>2.9151515151515373E-3</v>
      </c>
      <c r="S2824" s="295" t="s">
        <v>6615</v>
      </c>
      <c r="U2824" s="1"/>
      <c r="W2824" s="313"/>
      <c r="X2824" s="1"/>
    </row>
    <row r="2825" spans="2:24" x14ac:dyDescent="0.35">
      <c r="D2825" s="295"/>
      <c r="F2825" s="10"/>
      <c r="G2825" s="671"/>
      <c r="H2825" s="155"/>
      <c r="I2825" s="155"/>
      <c r="J2825" s="49"/>
      <c r="L2825" s="155"/>
      <c r="M2825" s="236"/>
      <c r="N2825" s="236"/>
      <c r="S2825" s="73"/>
      <c r="T2825" s="1"/>
      <c r="U2825" s="1"/>
      <c r="W2825" s="313"/>
      <c r="X2825" s="1"/>
    </row>
    <row r="2826" spans="2:24" x14ac:dyDescent="0.35">
      <c r="D2826" s="489" t="s">
        <v>6583</v>
      </c>
      <c r="G2826" s="671"/>
      <c r="H2826" s="155"/>
      <c r="I2826" s="155"/>
      <c r="J2826" s="49"/>
      <c r="K2826" s="155"/>
      <c r="L2826" s="155"/>
      <c r="M2826" s="155"/>
      <c r="N2826" s="1"/>
      <c r="S2826" s="73"/>
      <c r="T2826" s="1"/>
      <c r="U2826" s="1"/>
      <c r="W2826" s="313"/>
      <c r="X2826" s="1"/>
    </row>
    <row r="2827" spans="2:24" x14ac:dyDescent="0.35">
      <c r="E2827" s="489"/>
      <c r="F2827" s="671"/>
      <c r="G2827" s="155"/>
      <c r="H2827" s="155"/>
      <c r="I2827" s="49"/>
      <c r="J2827" s="155"/>
      <c r="K2827" s="155"/>
      <c r="L2827" s="155"/>
      <c r="M2827" s="1"/>
      <c r="S2827" s="73"/>
      <c r="T2827" s="1"/>
      <c r="U2827" s="1"/>
      <c r="W2827" s="313"/>
      <c r="X2827" s="1"/>
    </row>
    <row r="2828" spans="2:24" ht="24.5" x14ac:dyDescent="0.35">
      <c r="B2828" s="83" t="s">
        <v>2133</v>
      </c>
      <c r="F2828" s="307" t="s">
        <v>2601</v>
      </c>
      <c r="H2828" s="123" t="s">
        <v>2975</v>
      </c>
      <c r="I2828" s="123" t="s">
        <v>6621</v>
      </c>
      <c r="J2828" s="501"/>
      <c r="K2828" s="501"/>
      <c r="L2828" s="501"/>
      <c r="M2828" s="501"/>
      <c r="N2828" s="501"/>
      <c r="O2828" s="501"/>
      <c r="P2828" s="501"/>
      <c r="Q2828" s="123" t="s">
        <v>6586</v>
      </c>
      <c r="R2828" s="1"/>
      <c r="S2828" s="1"/>
      <c r="T2828" s="1"/>
      <c r="U2828" s="1"/>
      <c r="W2828" s="313"/>
      <c r="X2828" s="1"/>
    </row>
    <row r="2829" spans="2:24" x14ac:dyDescent="0.35">
      <c r="D2829" s="506" t="str">
        <f>D2923</f>
        <v>4.3V_Apwr (Analog)</v>
      </c>
      <c r="F2829" s="506" t="str">
        <f>D1528</f>
        <v>AP2202K-ADJTRG1</v>
      </c>
      <c r="H2829" s="315">
        <f>F1528</f>
        <v>0.1</v>
      </c>
      <c r="I2829" s="674" t="str">
        <f>H1528</f>
        <v>2.8% Total = (2% max over temp) + (0.5% for load) + (0.3% for 2x 0.1% Resistors)</v>
      </c>
      <c r="J2829" s="1"/>
      <c r="K2829" s="1"/>
      <c r="L2829" s="1"/>
      <c r="M2829" s="1"/>
      <c r="N2829" s="1"/>
      <c r="O2829" s="1"/>
      <c r="P2829" s="1"/>
      <c r="Q2829" s="674" t="str">
        <f>K1528</f>
        <v>230mV max at 50mA output over temp</v>
      </c>
      <c r="R2829" s="1"/>
      <c r="S2829" s="1"/>
      <c r="T2829" s="1"/>
      <c r="U2829" s="1"/>
      <c r="W2829" s="313"/>
      <c r="X2829" s="1"/>
    </row>
    <row r="2830" spans="2:24" x14ac:dyDescent="0.35">
      <c r="D2830" s="506" t="str">
        <f>D2924</f>
        <v>3.6V_Apwr (Analog)</v>
      </c>
      <c r="F2830" s="506" t="str">
        <f>D1537</f>
        <v>TLV70036DDCR</v>
      </c>
      <c r="H2830" s="315">
        <f>F1537</f>
        <v>0.1</v>
      </c>
      <c r="I2830" s="674" t="str">
        <f>H1537</f>
        <v>2.4% max over temp and load = (2% max over temp at 10mA)   +   (15mV change from load (.015/3.6=0.4%))</v>
      </c>
      <c r="J2830" s="1"/>
      <c r="K2830" s="1"/>
      <c r="L2830" s="1"/>
      <c r="M2830" s="1"/>
      <c r="N2830" s="1"/>
      <c r="O2830" s="1"/>
      <c r="P2830" s="1"/>
      <c r="Q2830" s="674" t="str">
        <f>K1537</f>
        <v xml:space="preserve">46mV typical @ 50mA  over temp </v>
      </c>
      <c r="R2830" s="1"/>
      <c r="S2830" s="1"/>
      <c r="T2830" s="1"/>
      <c r="U2830" s="1"/>
      <c r="W2830" s="313"/>
      <c r="X2830" s="1"/>
    </row>
    <row r="2831" spans="2:24" x14ac:dyDescent="0.35">
      <c r="D2831" s="506" t="str">
        <f>D2925</f>
        <v>3.3V_Dpwr (Digital)</v>
      </c>
      <c r="F2831" s="506"/>
      <c r="H2831" s="8"/>
      <c r="I2831" s="674"/>
      <c r="J2831" s="1"/>
      <c r="K2831" s="1"/>
      <c r="L2831" s="1"/>
      <c r="M2831" s="1"/>
      <c r="N2831" s="1"/>
      <c r="O2831" s="1"/>
      <c r="P2831" s="1"/>
      <c r="Q2831" s="1"/>
      <c r="R2831" s="1"/>
      <c r="S2831" s="1"/>
      <c r="T2831" s="1"/>
      <c r="U2831" s="1"/>
      <c r="W2831" s="313"/>
      <c r="X2831" s="1"/>
    </row>
    <row r="2832" spans="2:24" x14ac:dyDescent="0.35">
      <c r="D2832" s="506" t="str">
        <f>D2926</f>
        <v>-1V_Apwr (Analog)</v>
      </c>
      <c r="F2832" s="295" t="s">
        <v>6892</v>
      </c>
      <c r="H2832" s="315">
        <v>0.09</v>
      </c>
      <c r="I2832" s="295" t="str">
        <f>D2493</f>
        <v xml:space="preserve">+-85mV = 8.5% x 1V  = 1% (Op Amp 10mVos, 0.01V/1V = 1%) + 2% (1% + 1% shunt resistors) + 1% (TLV431 shunt) + 4.5% (0.3Ω x 15mA = 45mV, 45mV/1V = 4.5%) </v>
      </c>
      <c r="J2832" s="155"/>
      <c r="K2832" s="155"/>
      <c r="L2832" s="155"/>
      <c r="M2832" s="1"/>
      <c r="S2832" s="73"/>
      <c r="T2832" s="1"/>
      <c r="U2832" s="1"/>
      <c r="W2832" s="313"/>
      <c r="X2832" s="1"/>
    </row>
    <row r="2833" spans="2:28" x14ac:dyDescent="0.35">
      <c r="D2833" s="506"/>
      <c r="J2833" s="155"/>
      <c r="K2833" s="155"/>
      <c r="M2833" s="1"/>
      <c r="P2833" s="155"/>
      <c r="S2833" s="73"/>
      <c r="T2833" s="1"/>
      <c r="U2833" s="1"/>
      <c r="W2833" s="313"/>
      <c r="X2833" s="1"/>
    </row>
    <row r="2834" spans="2:28" x14ac:dyDescent="0.35">
      <c r="B2834" s="83" t="s">
        <v>8233</v>
      </c>
      <c r="D2834" t="s">
        <v>8239</v>
      </c>
      <c r="G2834" s="336"/>
      <c r="J2834" s="1"/>
      <c r="M2834" s="313"/>
    </row>
    <row r="2835" spans="2:28" x14ac:dyDescent="0.35">
      <c r="E2835" t="s">
        <v>1819</v>
      </c>
      <c r="J2835" s="1" t="s">
        <v>8230</v>
      </c>
      <c r="M2835" s="313"/>
    </row>
    <row r="2836" spans="2:28" x14ac:dyDescent="0.35">
      <c r="E2836" t="s">
        <v>8232</v>
      </c>
      <c r="J2836" s="1" t="s">
        <v>8231</v>
      </c>
      <c r="M2836" s="313"/>
    </row>
    <row r="2837" spans="2:28" x14ac:dyDescent="0.35">
      <c r="E2837" t="s">
        <v>8238</v>
      </c>
      <c r="J2837" s="1" t="s">
        <v>8237</v>
      </c>
      <c r="M2837" s="1"/>
      <c r="N2837" s="313"/>
    </row>
    <row r="2838" spans="2:28" x14ac:dyDescent="0.35">
      <c r="K2838" s="313"/>
      <c r="M2838" s="1"/>
      <c r="N2838" s="313"/>
      <c r="P2838" s="1"/>
    </row>
    <row r="2839" spans="2:28" ht="16.5" x14ac:dyDescent="0.45">
      <c r="B2839" s="83" t="s">
        <v>6578</v>
      </c>
      <c r="D2839" t="s">
        <v>6349</v>
      </c>
      <c r="E2839" s="12" t="s">
        <v>7487</v>
      </c>
      <c r="F2839" s="1"/>
      <c r="G2839" s="155"/>
      <c r="I2839" s="496"/>
      <c r="J2839" s="335"/>
      <c r="K2839" s="335"/>
      <c r="L2839" s="476"/>
      <c r="M2839" s="12"/>
      <c r="N2839" s="12"/>
      <c r="O2839" s="12"/>
      <c r="R2839" s="12"/>
      <c r="S2839" s="12"/>
      <c r="T2839" s="12"/>
      <c r="U2839" s="12"/>
      <c r="V2839" s="12"/>
      <c r="W2839" s="12"/>
      <c r="X2839" s="12"/>
      <c r="Y2839" s="12"/>
      <c r="Z2839" s="12"/>
      <c r="AA2839" s="12"/>
      <c r="AB2839" s="12"/>
    </row>
    <row r="2840" spans="2:28" x14ac:dyDescent="0.35">
      <c r="E2840" s="12" t="s">
        <v>7314</v>
      </c>
      <c r="F2840" s="1"/>
      <c r="G2840" s="155"/>
      <c r="I2840" s="496"/>
      <c r="J2840" s="335"/>
      <c r="K2840" s="335"/>
      <c r="L2840" s="476"/>
      <c r="M2840" s="12"/>
      <c r="N2840" s="12"/>
      <c r="O2840" s="12"/>
      <c r="R2840" s="12"/>
      <c r="S2840" s="12"/>
      <c r="T2840" s="12"/>
      <c r="U2840" s="12"/>
      <c r="V2840" s="12"/>
      <c r="W2840" s="12"/>
      <c r="X2840" s="12"/>
      <c r="Y2840" s="12"/>
      <c r="Z2840" s="12"/>
      <c r="AA2840" s="12"/>
      <c r="AB2840" s="12"/>
    </row>
    <row r="2841" spans="2:28" x14ac:dyDescent="0.35">
      <c r="E2841" s="12" t="s">
        <v>7315</v>
      </c>
      <c r="F2841" s="1"/>
      <c r="G2841" s="155"/>
      <c r="I2841" s="496"/>
      <c r="J2841" s="335"/>
      <c r="K2841" s="335"/>
      <c r="L2841" s="476"/>
      <c r="M2841" s="12"/>
      <c r="N2841" s="12"/>
      <c r="O2841" s="12"/>
      <c r="R2841" s="12"/>
      <c r="S2841" s="12"/>
      <c r="T2841" s="12"/>
      <c r="U2841" s="12"/>
      <c r="V2841" s="12"/>
      <c r="W2841" s="12"/>
      <c r="X2841" s="12"/>
      <c r="Y2841" s="12"/>
      <c r="Z2841" s="12"/>
      <c r="AA2841" s="12"/>
      <c r="AB2841" s="12"/>
    </row>
    <row r="2842" spans="2:28" ht="16.5" x14ac:dyDescent="0.35">
      <c r="E2842" s="12" t="s">
        <v>7316</v>
      </c>
      <c r="F2842" s="1"/>
      <c r="G2842" s="155"/>
      <c r="I2842" s="496"/>
      <c r="J2842" s="335"/>
      <c r="K2842" s="335"/>
      <c r="L2842" s="476"/>
      <c r="M2842" s="12"/>
      <c r="N2842" s="12"/>
      <c r="O2842" s="12"/>
      <c r="R2842" s="12"/>
      <c r="S2842" s="12"/>
      <c r="T2842" s="12"/>
      <c r="U2842" s="12"/>
      <c r="V2842" s="12"/>
      <c r="W2842" s="12"/>
      <c r="X2842" s="12"/>
      <c r="Y2842" s="12"/>
      <c r="Z2842" s="12"/>
      <c r="AA2842" s="12"/>
      <c r="AB2842" s="12"/>
    </row>
    <row r="2843" spans="2:28" x14ac:dyDescent="0.35">
      <c r="E2843" s="12" t="s">
        <v>7488</v>
      </c>
      <c r="F2843" s="1"/>
      <c r="G2843" s="155"/>
      <c r="I2843" s="496"/>
      <c r="J2843" s="335"/>
      <c r="K2843" s="335"/>
      <c r="L2843" s="476"/>
      <c r="M2843" s="12"/>
      <c r="N2843" s="12"/>
      <c r="O2843" s="12"/>
      <c r="R2843" s="12"/>
      <c r="S2843" s="12"/>
      <c r="T2843" s="12"/>
      <c r="U2843" s="12"/>
      <c r="V2843" s="12"/>
      <c r="W2843" s="12"/>
      <c r="X2843" s="12"/>
      <c r="Y2843" s="12"/>
      <c r="Z2843" s="12"/>
      <c r="AA2843" s="12"/>
      <c r="AB2843" s="12"/>
    </row>
    <row r="2844" spans="2:28" ht="16.5" x14ac:dyDescent="0.45">
      <c r="D2844" t="s">
        <v>6592</v>
      </c>
      <c r="E2844" s="12" t="s">
        <v>7312</v>
      </c>
      <c r="F2844" s="1"/>
      <c r="G2844" s="155"/>
      <c r="I2844" s="496"/>
      <c r="J2844" s="335"/>
      <c r="K2844" s="335"/>
      <c r="L2844" s="476"/>
      <c r="M2844" s="12"/>
      <c r="N2844" s="12"/>
      <c r="O2844" s="12"/>
      <c r="R2844" s="12"/>
      <c r="S2844" s="12"/>
      <c r="T2844" s="12"/>
      <c r="U2844" s="12"/>
      <c r="V2844" s="12"/>
      <c r="W2844" s="12"/>
      <c r="X2844" s="12"/>
      <c r="Y2844" s="12"/>
      <c r="Z2844" s="12"/>
      <c r="AA2844" s="12"/>
      <c r="AB2844" s="12"/>
    </row>
    <row r="2845" spans="2:28" ht="16.5" x14ac:dyDescent="0.45">
      <c r="D2845" t="s">
        <v>6605</v>
      </c>
      <c r="E2845" s="12" t="s">
        <v>7313</v>
      </c>
      <c r="F2845" s="1"/>
      <c r="G2845" s="155"/>
      <c r="I2845" s="496"/>
      <c r="J2845" s="335"/>
      <c r="K2845" s="335"/>
      <c r="L2845" s="476"/>
      <c r="M2845" s="12"/>
      <c r="N2845" s="12"/>
      <c r="O2845" s="12"/>
      <c r="R2845" s="12"/>
      <c r="S2845" s="12"/>
      <c r="T2845" s="12"/>
      <c r="U2845" s="12"/>
      <c r="V2845" s="12"/>
      <c r="W2845" s="12"/>
      <c r="X2845" s="12"/>
      <c r="Y2845" s="12"/>
      <c r="Z2845" s="12"/>
      <c r="AA2845" s="12"/>
      <c r="AB2845" s="12"/>
    </row>
    <row r="2846" spans="2:28" ht="16.5" x14ac:dyDescent="0.45">
      <c r="D2846" t="s">
        <v>6717</v>
      </c>
      <c r="E2846" s="12" t="s">
        <v>6791</v>
      </c>
      <c r="F2846" s="1"/>
      <c r="G2846" s="155"/>
      <c r="I2846" s="496"/>
      <c r="J2846" s="335"/>
      <c r="K2846" s="335"/>
      <c r="L2846" s="476"/>
      <c r="M2846" s="12"/>
      <c r="N2846" s="12"/>
      <c r="O2846" s="12"/>
      <c r="R2846" s="12"/>
      <c r="S2846" s="12"/>
      <c r="T2846" s="12"/>
      <c r="U2846" s="12"/>
      <c r="V2846" s="12"/>
      <c r="W2846" s="12"/>
      <c r="X2846" s="12"/>
      <c r="Y2846" s="12"/>
      <c r="Z2846" s="12"/>
      <c r="AA2846" s="12"/>
      <c r="AB2846" s="12"/>
    </row>
    <row r="2847" spans="2:28" x14ac:dyDescent="0.35">
      <c r="E2847" s="12" t="s">
        <v>7317</v>
      </c>
      <c r="F2847" s="1"/>
      <c r="G2847" s="155"/>
      <c r="I2847" s="496"/>
      <c r="J2847" s="335"/>
      <c r="K2847" s="335"/>
      <c r="L2847" s="476"/>
      <c r="M2847" s="12"/>
      <c r="N2847" s="12"/>
      <c r="O2847" s="12"/>
      <c r="R2847" s="12"/>
      <c r="S2847" s="12"/>
      <c r="T2847" s="12"/>
      <c r="U2847" s="12"/>
      <c r="V2847" s="12"/>
      <c r="W2847" s="12"/>
      <c r="X2847" s="12"/>
      <c r="Y2847" s="12"/>
      <c r="Z2847" s="12"/>
      <c r="AA2847" s="12"/>
      <c r="AB2847" s="12"/>
    </row>
    <row r="2848" spans="2:28" x14ac:dyDescent="0.35">
      <c r="H2848" s="336"/>
      <c r="K2848" s="313"/>
      <c r="O2848" s="1"/>
      <c r="P2848" s="313"/>
    </row>
    <row r="2849" spans="2:28" ht="13.5" customHeight="1" x14ac:dyDescent="0.35">
      <c r="B2849" s="83" t="s">
        <v>6441</v>
      </c>
      <c r="G2849" s="132"/>
      <c r="H2849" s="155"/>
      <c r="K2849" s="155"/>
      <c r="L2849" s="155"/>
      <c r="M2849" s="1"/>
      <c r="R2849" s="73"/>
      <c r="S2849" s="1"/>
      <c r="T2849" s="313"/>
      <c r="U2849" s="1"/>
      <c r="W2849" s="1"/>
      <c r="X2849" s="1"/>
    </row>
    <row r="2850" spans="2:28" ht="13.5" customHeight="1" x14ac:dyDescent="0.35">
      <c r="D2850" t="s">
        <v>6439</v>
      </c>
      <c r="G2850" s="132"/>
      <c r="H2850" s="155"/>
      <c r="K2850" s="155"/>
      <c r="L2850" s="155"/>
      <c r="M2850" s="1"/>
      <c r="N2850" s="1"/>
      <c r="R2850" s="73"/>
      <c r="S2850" s="1"/>
      <c r="T2850" s="313"/>
      <c r="U2850" s="1"/>
      <c r="W2850" s="1" t="s">
        <v>6440</v>
      </c>
      <c r="X2850" s="1"/>
      <c r="Y2850" t="s">
        <v>0</v>
      </c>
    </row>
    <row r="2851" spans="2:28" ht="13.5" customHeight="1" x14ac:dyDescent="0.35">
      <c r="D2851" t="s">
        <v>6442</v>
      </c>
      <c r="G2851" s="132"/>
      <c r="H2851" s="155"/>
      <c r="K2851" s="155"/>
      <c r="L2851" s="155"/>
      <c r="M2851" s="1"/>
      <c r="N2851" s="1"/>
      <c r="R2851" s="73"/>
      <c r="S2851" s="1"/>
      <c r="T2851" s="313"/>
      <c r="U2851" s="1"/>
      <c r="W2851" s="1" t="s">
        <v>6443</v>
      </c>
      <c r="X2851" s="1"/>
      <c r="Y2851" t="s">
        <v>0</v>
      </c>
    </row>
    <row r="2852" spans="2:28" ht="13.5" customHeight="1" x14ac:dyDescent="0.35">
      <c r="D2852" t="s">
        <v>6893</v>
      </c>
      <c r="G2852" s="132"/>
      <c r="H2852" s="155"/>
      <c r="K2852" s="155"/>
      <c r="L2852" s="155"/>
      <c r="M2852" t="s">
        <v>6906</v>
      </c>
      <c r="N2852" s="1"/>
      <c r="R2852" s="73"/>
      <c r="S2852" s="1"/>
      <c r="T2852" s="313"/>
      <c r="U2852" s="1"/>
      <c r="W2852" s="1" t="s">
        <v>6443</v>
      </c>
      <c r="X2852" s="1"/>
      <c r="Y2852" t="s">
        <v>0</v>
      </c>
    </row>
    <row r="2853" spans="2:28" ht="13.5" customHeight="1" x14ac:dyDescent="0.35">
      <c r="E2853" s="10"/>
      <c r="G2853" s="236"/>
      <c r="H2853" s="155"/>
      <c r="J2853" s="155"/>
      <c r="K2853" s="155"/>
      <c r="N2853" s="1"/>
      <c r="R2853" s="73"/>
      <c r="S2853" s="1"/>
      <c r="T2853" s="313"/>
      <c r="U2853" s="1"/>
      <c r="W2853" s="1"/>
      <c r="X2853" s="1"/>
    </row>
    <row r="2854" spans="2:28" ht="23.5" customHeight="1" x14ac:dyDescent="0.35">
      <c r="E2854" s="307" t="s">
        <v>6901</v>
      </c>
      <c r="F2854" s="307" t="s">
        <v>6902</v>
      </c>
      <c r="H2854" s="307" t="s">
        <v>6894</v>
      </c>
      <c r="I2854" s="307" t="s">
        <v>6903</v>
      </c>
      <c r="K2854" s="307" t="s">
        <v>6905</v>
      </c>
      <c r="L2854" s="307" t="s">
        <v>6904</v>
      </c>
      <c r="N2854" s="1"/>
      <c r="R2854" s="73"/>
      <c r="S2854" s="1"/>
      <c r="T2854" s="313"/>
      <c r="U2854" s="1"/>
      <c r="W2854" s="1"/>
      <c r="X2854" s="1"/>
    </row>
    <row r="2855" spans="2:28" x14ac:dyDescent="0.35">
      <c r="D2855" t="s">
        <v>2958</v>
      </c>
      <c r="E2855" s="10">
        <f>$G$2925</f>
        <v>3.2009999999999996</v>
      </c>
      <c r="F2855" s="10">
        <f>$I$2925</f>
        <v>3.399</v>
      </c>
      <c r="H2855" s="236">
        <f>E2855-0.2</f>
        <v>3.0009999999999994</v>
      </c>
      <c r="I2855" s="236">
        <f>E2855-0.4</f>
        <v>2.8009999999999997</v>
      </c>
      <c r="K2855" s="413">
        <v>0.2</v>
      </c>
      <c r="L2855" s="424">
        <v>0.4</v>
      </c>
      <c r="M2855" s="12"/>
      <c r="N2855" s="12"/>
      <c r="O2855" s="12"/>
      <c r="R2855" s="12"/>
      <c r="S2855" s="12"/>
      <c r="T2855" s="12"/>
      <c r="U2855" s="12"/>
      <c r="V2855" s="12"/>
      <c r="W2855" s="12"/>
      <c r="X2855" s="12"/>
      <c r="Y2855" s="12"/>
      <c r="Z2855" s="12"/>
      <c r="AA2855" s="12"/>
      <c r="AB2855" s="12"/>
    </row>
    <row r="2856" spans="2:28" x14ac:dyDescent="0.35">
      <c r="E2856" s="10"/>
      <c r="F2856" s="10"/>
      <c r="H2856" s="236"/>
      <c r="I2856" s="236"/>
      <c r="K2856" s="413"/>
      <c r="L2856" s="476"/>
      <c r="M2856" s="12"/>
      <c r="N2856" s="12"/>
      <c r="O2856" s="12"/>
      <c r="R2856" s="12"/>
      <c r="S2856" s="12"/>
      <c r="T2856" s="12"/>
      <c r="U2856" s="12"/>
      <c r="V2856" s="12"/>
      <c r="W2856" s="12"/>
      <c r="X2856" s="12"/>
      <c r="Y2856" s="12"/>
      <c r="Z2856" s="12"/>
      <c r="AA2856" s="12"/>
      <c r="AB2856" s="12"/>
    </row>
    <row r="2857" spans="2:28" x14ac:dyDescent="0.35">
      <c r="B2857" s="83" t="s">
        <v>6662</v>
      </c>
      <c r="D2857" t="s">
        <v>7280</v>
      </c>
      <c r="E2857" s="12"/>
      <c r="F2857" s="1"/>
      <c r="G2857" s="155" t="s">
        <v>6353</v>
      </c>
      <c r="I2857" s="155" t="s">
        <v>6666</v>
      </c>
      <c r="J2857" s="496"/>
      <c r="K2857" s="335"/>
      <c r="L2857" s="335"/>
      <c r="M2857" s="476"/>
      <c r="N2857" s="12"/>
      <c r="O2857" s="12"/>
      <c r="P2857" s="12"/>
      <c r="Q2857" s="12"/>
      <c r="R2857" s="12"/>
      <c r="V2857" s="1" t="s">
        <v>3059</v>
      </c>
      <c r="W2857" s="12"/>
      <c r="X2857" s="12" t="s">
        <v>0</v>
      </c>
      <c r="Z2857" s="12"/>
      <c r="AA2857" s="12"/>
      <c r="AB2857" s="12"/>
    </row>
    <row r="2858" spans="2:28" x14ac:dyDescent="0.35">
      <c r="D2858" s="464"/>
      <c r="E2858" s="12"/>
      <c r="F2858" s="1"/>
      <c r="G2858" s="155" t="s">
        <v>2959</v>
      </c>
      <c r="I2858" s="155" t="s">
        <v>6665</v>
      </c>
      <c r="J2858" s="496"/>
      <c r="K2858" s="335"/>
      <c r="L2858" s="12" t="s">
        <v>6383</v>
      </c>
      <c r="M2858" s="476"/>
      <c r="O2858" s="12"/>
      <c r="P2858" s="12"/>
      <c r="Q2858" s="12"/>
      <c r="R2858" s="12"/>
      <c r="U2858" s="12"/>
      <c r="V2858" s="12"/>
      <c r="W2858" s="12"/>
      <c r="X2858" s="12"/>
      <c r="Y2858" s="12"/>
      <c r="Z2858" s="12"/>
      <c r="AA2858" s="12"/>
      <c r="AB2858" s="12"/>
    </row>
    <row r="2859" spans="2:28" x14ac:dyDescent="0.35">
      <c r="D2859" s="155"/>
      <c r="E2859" s="12"/>
      <c r="F2859" s="1"/>
      <c r="G2859" s="155" t="s">
        <v>2969</v>
      </c>
      <c r="I2859" s="155" t="s">
        <v>6663</v>
      </c>
      <c r="J2859" s="496"/>
      <c r="K2859" s="335"/>
      <c r="L2859" s="335"/>
      <c r="N2859" s="12"/>
      <c r="O2859" s="12"/>
      <c r="P2859" s="12"/>
      <c r="Q2859" s="12"/>
      <c r="R2859" s="12"/>
      <c r="S2859" s="12"/>
      <c r="T2859" s="12"/>
      <c r="U2859" s="12"/>
      <c r="V2859" s="12"/>
      <c r="W2859" s="12"/>
      <c r="X2859" s="12"/>
      <c r="Y2859" s="12"/>
      <c r="Z2859" s="12"/>
      <c r="AA2859" s="12"/>
      <c r="AB2859" s="12"/>
    </row>
    <row r="2860" spans="2:28" x14ac:dyDescent="0.35">
      <c r="D2860" s="155"/>
      <c r="E2860" s="12"/>
      <c r="F2860" s="1"/>
      <c r="G2860" s="155" t="s">
        <v>22</v>
      </c>
      <c r="I2860" s="155" t="s">
        <v>6387</v>
      </c>
      <c r="J2860" s="496"/>
      <c r="K2860" s="335"/>
      <c r="L2860" s="335"/>
      <c r="N2860" s="12"/>
      <c r="O2860" s="12"/>
      <c r="P2860" s="12"/>
      <c r="Q2860" s="12"/>
      <c r="R2860" s="12"/>
      <c r="S2860" s="12"/>
      <c r="T2860" s="12"/>
      <c r="U2860" s="12"/>
      <c r="V2860" s="12"/>
      <c r="W2860" s="12"/>
      <c r="X2860" s="12"/>
      <c r="Y2860" s="12"/>
      <c r="Z2860" s="12"/>
      <c r="AA2860" s="12"/>
      <c r="AB2860" s="12"/>
    </row>
    <row r="2861" spans="2:28" ht="16.5" x14ac:dyDescent="0.45">
      <c r="D2861" s="155"/>
      <c r="E2861" s="12"/>
      <c r="F2861" s="1"/>
      <c r="G2861" s="155" t="s">
        <v>7273</v>
      </c>
      <c r="I2861" s="155" t="s">
        <v>8884</v>
      </c>
      <c r="J2861" s="496"/>
      <c r="K2861" s="335"/>
      <c r="L2861" s="335"/>
      <c r="N2861" s="12"/>
      <c r="O2861" s="12"/>
      <c r="P2861" s="12" t="s">
        <v>6389</v>
      </c>
      <c r="Q2861" s="12"/>
      <c r="R2861" s="12"/>
      <c r="S2861" s="12"/>
      <c r="T2861" s="12"/>
      <c r="U2861" s="12"/>
      <c r="V2861" s="12"/>
      <c r="W2861" s="12"/>
      <c r="X2861" s="12"/>
      <c r="Y2861" s="12"/>
      <c r="Z2861" s="12"/>
      <c r="AA2861" s="12"/>
      <c r="AB2861" s="12"/>
    </row>
    <row r="2862" spans="2:28" ht="16.5" x14ac:dyDescent="0.45">
      <c r="D2862" s="155"/>
      <c r="E2862" s="12"/>
      <c r="F2862" s="1"/>
      <c r="G2862" s="155" t="s">
        <v>7274</v>
      </c>
      <c r="I2862" s="155" t="str">
        <f>H1079</f>
        <v>25pA Typical shown in graph at 85C; yet MAX is not specified anywhere in datasheet. Table says 0.5pA typical at 25C.</v>
      </c>
      <c r="J2862" s="496"/>
      <c r="K2862" s="335"/>
      <c r="L2862" s="335"/>
      <c r="N2862" s="12"/>
      <c r="O2862" s="12"/>
      <c r="P2862" s="12"/>
      <c r="Q2862" s="12"/>
      <c r="R2862" s="12"/>
      <c r="S2862" s="12"/>
      <c r="T2862" s="12"/>
      <c r="U2862" s="12"/>
      <c r="V2862" s="12"/>
      <c r="W2862" s="12"/>
      <c r="X2862" s="12"/>
      <c r="Y2862" s="12"/>
      <c r="Z2862" s="12"/>
      <c r="AA2862" s="12"/>
      <c r="AB2862" s="12"/>
    </row>
    <row r="2863" spans="2:28" x14ac:dyDescent="0.35">
      <c r="D2863" s="155"/>
      <c r="E2863" s="12"/>
      <c r="F2863" s="1"/>
      <c r="G2863" s="155"/>
      <c r="I2863" s="155"/>
      <c r="J2863" s="335"/>
      <c r="K2863" s="335"/>
      <c r="M2863" s="12"/>
      <c r="N2863" s="12"/>
      <c r="O2863" s="12"/>
      <c r="P2863" s="12"/>
      <c r="Q2863" s="12"/>
      <c r="R2863" s="12"/>
      <c r="S2863" s="12"/>
      <c r="T2863" s="12"/>
      <c r="U2863" s="12"/>
      <c r="W2863" s="12"/>
      <c r="X2863" s="12"/>
      <c r="Y2863" s="12"/>
      <c r="Z2863" s="12"/>
      <c r="AA2863" s="12"/>
      <c r="AB2863" s="12"/>
    </row>
    <row r="2864" spans="2:28" x14ac:dyDescent="0.35">
      <c r="D2864" s="155" t="s">
        <v>7269</v>
      </c>
      <c r="E2864" s="12"/>
      <c r="F2864" s="1"/>
      <c r="G2864" s="155" t="s">
        <v>6353</v>
      </c>
      <c r="I2864" s="155" t="s">
        <v>6363</v>
      </c>
      <c r="J2864" s="496"/>
      <c r="K2864" s="335"/>
      <c r="L2864" s="335"/>
      <c r="N2864" s="12"/>
      <c r="O2864" s="12"/>
      <c r="P2864" s="12"/>
      <c r="Q2864" s="12"/>
      <c r="R2864" s="12"/>
      <c r="S2864" s="12"/>
      <c r="T2864" s="12"/>
      <c r="V2864" s="12"/>
      <c r="W2864" s="12"/>
      <c r="X2864" s="12"/>
      <c r="Y2864" s="12"/>
      <c r="Z2864" s="12"/>
      <c r="AA2864" s="12"/>
      <c r="AB2864" s="12"/>
    </row>
    <row r="2865" spans="4:28" x14ac:dyDescent="0.35">
      <c r="D2865" s="464">
        <v>0.14000000000000001</v>
      </c>
      <c r="E2865" s="12"/>
      <c r="F2865" s="1"/>
      <c r="G2865" s="155" t="s">
        <v>2959</v>
      </c>
      <c r="I2865" s="155" t="s">
        <v>6679</v>
      </c>
      <c r="J2865" s="496"/>
      <c r="K2865" s="335"/>
      <c r="L2865" s="335"/>
      <c r="N2865" s="12"/>
      <c r="O2865" s="12"/>
      <c r="P2865" s="12"/>
      <c r="Q2865" s="12"/>
      <c r="R2865" s="12"/>
      <c r="S2865" s="12"/>
      <c r="T2865" s="12"/>
      <c r="V2865" s="12"/>
      <c r="W2865" s="12"/>
      <c r="X2865" s="12"/>
      <c r="Y2865" s="12"/>
      <c r="Z2865" s="12"/>
      <c r="AA2865" s="12"/>
      <c r="AB2865" s="12"/>
    </row>
    <row r="2866" spans="4:28" x14ac:dyDescent="0.35">
      <c r="D2866" s="464"/>
      <c r="E2866" s="12"/>
      <c r="F2866" s="1"/>
      <c r="G2866" s="155" t="s">
        <v>2969</v>
      </c>
      <c r="I2866" s="155" t="s">
        <v>6678</v>
      </c>
      <c r="J2866" s="496"/>
      <c r="K2866" s="335"/>
      <c r="L2866" s="335"/>
      <c r="N2866" s="12"/>
      <c r="O2866" s="12"/>
      <c r="P2866" s="12"/>
      <c r="Q2866" s="12"/>
      <c r="R2866" s="12"/>
      <c r="S2866" s="12"/>
      <c r="T2866" s="12"/>
      <c r="V2866" s="12"/>
      <c r="W2866" s="12"/>
      <c r="X2866" s="12"/>
      <c r="Y2866" s="12"/>
      <c r="Z2866" s="12"/>
      <c r="AA2866" s="12"/>
      <c r="AB2866" s="12"/>
    </row>
    <row r="2867" spans="4:28" x14ac:dyDescent="0.35">
      <c r="D2867" s="464"/>
      <c r="E2867" s="12"/>
      <c r="F2867" s="1"/>
      <c r="G2867" s="155" t="s">
        <v>22</v>
      </c>
      <c r="I2867" s="155" t="s">
        <v>6386</v>
      </c>
      <c r="J2867" s="496"/>
      <c r="K2867" s="335"/>
      <c r="L2867" s="335"/>
      <c r="N2867" s="12"/>
      <c r="O2867" s="12"/>
      <c r="P2867" s="12"/>
      <c r="Q2867" s="12"/>
      <c r="R2867" s="12"/>
      <c r="S2867" s="12"/>
      <c r="T2867" s="12"/>
      <c r="V2867" s="12"/>
      <c r="W2867" s="12"/>
      <c r="X2867" s="12"/>
      <c r="Y2867" s="12"/>
      <c r="Z2867" s="12"/>
      <c r="AA2867" s="12"/>
      <c r="AB2867" s="12"/>
    </row>
    <row r="2868" spans="4:28" ht="16.5" x14ac:dyDescent="0.45">
      <c r="D2868" s="464"/>
      <c r="E2868" s="12"/>
      <c r="F2868" s="1"/>
      <c r="G2868" s="155" t="s">
        <v>7273</v>
      </c>
      <c r="I2868" s="155" t="s">
        <v>8881</v>
      </c>
      <c r="J2868" s="496"/>
      <c r="K2868" s="335"/>
      <c r="L2868" s="335"/>
      <c r="N2868" s="12"/>
      <c r="O2868" s="12"/>
      <c r="P2868" s="12" t="s">
        <v>8883</v>
      </c>
      <c r="Q2868" s="12"/>
      <c r="R2868" s="12"/>
      <c r="S2868" s="12"/>
      <c r="T2868" s="12"/>
      <c r="V2868" s="12"/>
      <c r="W2868" s="12"/>
      <c r="X2868" s="12"/>
      <c r="Y2868" s="12"/>
      <c r="Z2868" s="12"/>
      <c r="AA2868" s="12"/>
      <c r="AB2868" s="12"/>
    </row>
    <row r="2869" spans="4:28" ht="16.5" x14ac:dyDescent="0.45">
      <c r="D2869" s="464"/>
      <c r="E2869" s="12"/>
      <c r="F2869" s="1"/>
      <c r="G2869" s="155" t="s">
        <v>7274</v>
      </c>
      <c r="I2869" s="155" t="str">
        <f>H1072</f>
        <v>85 nA max at 85C (st.com datasheet), yet other manuf quote low Typical #'s and do not specify Maximum.  For more details, search this file for "Leakage Current for Quad Op Amp"</v>
      </c>
      <c r="J2869" s="496"/>
      <c r="K2869" s="335"/>
      <c r="L2869" s="335"/>
      <c r="N2869" s="12"/>
      <c r="O2869" s="12"/>
      <c r="P2869" s="12"/>
      <c r="Q2869" s="12"/>
      <c r="R2869" s="12"/>
      <c r="S2869" s="12"/>
      <c r="T2869" s="12"/>
      <c r="V2869" s="12"/>
      <c r="W2869" s="12"/>
      <c r="X2869" s="12"/>
      <c r="Y2869" s="12"/>
      <c r="Z2869" s="12"/>
      <c r="AA2869" s="12"/>
      <c r="AB2869" s="12"/>
    </row>
    <row r="2870" spans="4:28" x14ac:dyDescent="0.35">
      <c r="D2870" s="464"/>
      <c r="E2870" s="12"/>
      <c r="F2870" s="1"/>
      <c r="G2870" s="155"/>
      <c r="I2870" s="155"/>
      <c r="J2870" s="496"/>
      <c r="K2870" s="335"/>
      <c r="L2870" s="335"/>
      <c r="N2870" s="12"/>
      <c r="O2870" s="12"/>
      <c r="P2870" s="12"/>
      <c r="Q2870" s="12"/>
      <c r="R2870" s="12"/>
      <c r="S2870" s="12"/>
      <c r="T2870" s="12"/>
      <c r="V2870" s="12"/>
      <c r="W2870" s="12"/>
      <c r="X2870" s="12"/>
      <c r="Y2870" s="12"/>
      <c r="Z2870" s="12"/>
      <c r="AA2870" s="12"/>
      <c r="AB2870" s="12"/>
    </row>
    <row r="2871" spans="4:28" x14ac:dyDescent="0.35">
      <c r="D2871" s="464" t="s">
        <v>7270</v>
      </c>
      <c r="E2871" s="12"/>
      <c r="F2871" s="1"/>
      <c r="G2871" s="155" t="s">
        <v>6353</v>
      </c>
      <c r="I2871" s="155" t="s">
        <v>8882</v>
      </c>
      <c r="J2871" s="496"/>
      <c r="K2871" s="335"/>
      <c r="L2871" s="335"/>
      <c r="N2871" s="12"/>
      <c r="O2871" s="12"/>
      <c r="P2871" s="12"/>
      <c r="Q2871" s="12"/>
      <c r="R2871" s="12"/>
      <c r="S2871" s="12"/>
      <c r="T2871" s="12"/>
      <c r="V2871" s="12"/>
      <c r="W2871" s="12"/>
      <c r="X2871" s="12"/>
      <c r="Y2871" s="12"/>
      <c r="Z2871" s="12"/>
      <c r="AA2871" s="12"/>
      <c r="AB2871" s="12"/>
    </row>
    <row r="2872" spans="4:28" x14ac:dyDescent="0.35">
      <c r="D2872" s="759" t="s">
        <v>7276</v>
      </c>
      <c r="E2872" s="12"/>
      <c r="F2872" s="1"/>
      <c r="G2872" s="155" t="s">
        <v>2959</v>
      </c>
      <c r="I2872" s="95" t="s">
        <v>6680</v>
      </c>
      <c r="J2872" s="496"/>
      <c r="K2872" s="335"/>
      <c r="L2872" s="335"/>
      <c r="N2872" s="12"/>
      <c r="O2872" s="12"/>
      <c r="P2872" s="12"/>
      <c r="Q2872" s="12"/>
      <c r="R2872" s="12"/>
      <c r="S2872" s="12"/>
      <c r="T2872" s="12"/>
      <c r="V2872" s="12"/>
      <c r="W2872" s="12"/>
      <c r="X2872" s="12"/>
      <c r="Y2872" s="12"/>
      <c r="Z2872" s="12"/>
      <c r="AA2872" s="12"/>
      <c r="AB2872" s="12"/>
    </row>
    <row r="2873" spans="4:28" x14ac:dyDescent="0.35">
      <c r="D2873" s="464"/>
      <c r="E2873" s="12"/>
      <c r="F2873" s="1"/>
      <c r="G2873" s="155" t="s">
        <v>2969</v>
      </c>
      <c r="I2873" s="155" t="s">
        <v>6664</v>
      </c>
      <c r="J2873" s="496"/>
      <c r="K2873" s="335"/>
      <c r="L2873" s="335"/>
      <c r="N2873" s="12"/>
      <c r="O2873" s="12"/>
      <c r="P2873" s="12"/>
      <c r="Q2873" s="12"/>
      <c r="R2873" s="12"/>
      <c r="S2873" s="12"/>
      <c r="T2873" s="12"/>
      <c r="V2873" s="12"/>
      <c r="W2873" s="12"/>
      <c r="X2873" s="12"/>
      <c r="Y2873" s="12"/>
      <c r="Z2873" s="12"/>
      <c r="AA2873" s="12"/>
      <c r="AB2873" s="12"/>
    </row>
    <row r="2874" spans="4:28" x14ac:dyDescent="0.35">
      <c r="D2874" s="464"/>
      <c r="E2874" s="12"/>
      <c r="F2874" s="1"/>
      <c r="G2874" s="155" t="s">
        <v>22</v>
      </c>
      <c r="I2874" s="155" t="s">
        <v>6567</v>
      </c>
      <c r="J2874" s="335"/>
      <c r="L2874" s="12"/>
      <c r="M2874" s="12"/>
      <c r="N2874" s="12"/>
      <c r="O2874" s="12"/>
      <c r="P2874" s="12"/>
      <c r="Q2874" s="12"/>
      <c r="R2874" s="12"/>
      <c r="S2874" s="12"/>
      <c r="T2874" s="12"/>
      <c r="V2874" s="12"/>
      <c r="W2874" s="12"/>
      <c r="X2874" s="12"/>
      <c r="Y2874" s="12"/>
      <c r="Z2874" s="12"/>
      <c r="AA2874" s="12"/>
      <c r="AB2874" s="12"/>
    </row>
    <row r="2875" spans="4:28" ht="16.5" x14ac:dyDescent="0.45">
      <c r="D2875" s="464"/>
      <c r="E2875" s="12"/>
      <c r="F2875" s="1"/>
      <c r="G2875" s="155" t="s">
        <v>7273</v>
      </c>
      <c r="I2875" s="155" t="s">
        <v>8881</v>
      </c>
      <c r="J2875" s="335"/>
      <c r="L2875" s="12"/>
      <c r="M2875" s="12"/>
      <c r="N2875" s="12"/>
      <c r="O2875" s="12"/>
      <c r="P2875" s="12" t="s">
        <v>6390</v>
      </c>
      <c r="Q2875" s="12"/>
      <c r="R2875" s="12"/>
      <c r="S2875" s="12"/>
      <c r="T2875" s="12"/>
      <c r="V2875" s="12"/>
      <c r="W2875" s="12"/>
      <c r="X2875" s="12"/>
      <c r="Y2875" s="12"/>
      <c r="Z2875" s="12"/>
      <c r="AA2875" s="12"/>
      <c r="AB2875" s="12"/>
    </row>
    <row r="2876" spans="4:28" ht="16.5" x14ac:dyDescent="0.45">
      <c r="D2876" s="464"/>
      <c r="E2876" s="12"/>
      <c r="F2876" s="1"/>
      <c r="G2876" s="155" t="s">
        <v>7274</v>
      </c>
      <c r="I2876" s="155" t="str">
        <f>H1088</f>
        <v>25pA max over temp, 5Vcc</v>
      </c>
      <c r="J2876" s="335"/>
      <c r="L2876" s="12"/>
      <c r="M2876" s="12"/>
      <c r="N2876" s="12"/>
      <c r="O2876" s="12"/>
      <c r="P2876" s="12"/>
      <c r="Q2876" s="12"/>
      <c r="R2876" s="12"/>
      <c r="S2876" s="12"/>
      <c r="T2876" s="12"/>
      <c r="V2876" s="12"/>
      <c r="W2876" s="12"/>
      <c r="X2876" s="12"/>
      <c r="Y2876" s="12"/>
      <c r="Z2876" s="12"/>
      <c r="AA2876" s="12"/>
      <c r="AB2876" s="12"/>
    </row>
    <row r="2877" spans="4:28" x14ac:dyDescent="0.35">
      <c r="D2877" s="464"/>
      <c r="E2877" s="12"/>
      <c r="F2877" s="1"/>
      <c r="G2877" s="155"/>
      <c r="I2877" s="155"/>
      <c r="J2877" s="335"/>
      <c r="L2877" s="12"/>
      <c r="M2877" s="12"/>
      <c r="N2877" s="12"/>
      <c r="O2877" s="12"/>
      <c r="P2877" s="12"/>
      <c r="Q2877" s="12"/>
      <c r="R2877" s="12"/>
      <c r="S2877" s="12"/>
      <c r="T2877" s="12"/>
      <c r="V2877" s="12"/>
      <c r="W2877" s="12"/>
      <c r="X2877" s="12"/>
      <c r="Y2877" s="12"/>
      <c r="Z2877" s="12"/>
      <c r="AA2877" s="12"/>
      <c r="AB2877" s="12"/>
    </row>
    <row r="2878" spans="4:28" x14ac:dyDescent="0.35">
      <c r="D2878" s="464" t="s">
        <v>7279</v>
      </c>
      <c r="E2878" s="12"/>
      <c r="F2878" s="1"/>
      <c r="G2878" s="155" t="s">
        <v>6353</v>
      </c>
      <c r="I2878" s="155" t="str">
        <f>O1095</f>
        <v>124 min over temp for Vcm = -0.05V to (Vcc+0.1V)</v>
      </c>
      <c r="J2878" s="335"/>
      <c r="L2878" s="12"/>
      <c r="M2878" s="12"/>
      <c r="N2878" s="12"/>
      <c r="O2878" s="12"/>
      <c r="P2878" s="12"/>
      <c r="Q2878" s="12"/>
      <c r="R2878" s="12"/>
      <c r="S2878" s="12"/>
      <c r="T2878" s="12"/>
      <c r="V2878" s="12"/>
      <c r="W2878" s="12"/>
      <c r="X2878" s="12"/>
      <c r="Y2878" s="12"/>
      <c r="Z2878" s="12"/>
      <c r="AA2878" s="12"/>
      <c r="AB2878" s="12"/>
    </row>
    <row r="2879" spans="4:28" x14ac:dyDescent="0.35">
      <c r="D2879" s="758" t="s">
        <v>7275</v>
      </c>
      <c r="E2879" s="12"/>
      <c r="F2879" s="1"/>
      <c r="G2879" s="155" t="s">
        <v>2959</v>
      </c>
      <c r="I2879" s="155" t="str">
        <f>U1095</f>
        <v xml:space="preserve"> -0.05 to (Vcc+0.1),    note that input bias current prefers +1V +Headroom (Figure 10)</v>
      </c>
      <c r="J2879" s="335"/>
      <c r="L2879" s="12"/>
      <c r="M2879" s="12"/>
      <c r="N2879" s="12"/>
      <c r="O2879" s="12"/>
      <c r="P2879" s="12"/>
      <c r="Q2879" s="12"/>
      <c r="R2879" s="12"/>
      <c r="S2879" s="12"/>
      <c r="T2879" s="12"/>
      <c r="V2879" s="12"/>
      <c r="W2879" s="12"/>
      <c r="X2879" s="12"/>
      <c r="Y2879" s="12"/>
      <c r="Z2879" s="12"/>
      <c r="AA2879" s="12"/>
      <c r="AB2879" s="12"/>
    </row>
    <row r="2880" spans="4:28" x14ac:dyDescent="0.35">
      <c r="D2880" s="464"/>
      <c r="E2880" s="12"/>
      <c r="F2880" s="1"/>
      <c r="G2880" s="155" t="s">
        <v>2969</v>
      </c>
      <c r="I2880" s="155" t="str">
        <f>W1095</f>
        <v>300mV to (Vcc-300mV) for good open loop gain;    or +-100mV +-Headroom for less open loop gain</v>
      </c>
      <c r="J2880" s="335"/>
      <c r="L2880" s="12"/>
      <c r="M2880" s="12"/>
      <c r="N2880" s="12"/>
      <c r="O2880" s="12"/>
      <c r="P2880" s="12"/>
      <c r="Q2880" s="12"/>
      <c r="R2880" s="12"/>
      <c r="S2880" s="12"/>
      <c r="T2880" s="12"/>
      <c r="V2880" s="12"/>
      <c r="W2880" s="12"/>
      <c r="X2880" s="12"/>
      <c r="Y2880" s="12"/>
      <c r="Z2880" s="12"/>
      <c r="AA2880" s="12"/>
      <c r="AB2880" s="12"/>
    </row>
    <row r="2881" spans="2:28" x14ac:dyDescent="0.35">
      <c r="D2881" s="464"/>
      <c r="E2881" s="12"/>
      <c r="F2881" s="1"/>
      <c r="G2881" s="155" t="s">
        <v>22</v>
      </c>
      <c r="I2881" s="155" t="s">
        <v>6933</v>
      </c>
      <c r="J2881" s="335"/>
      <c r="L2881" s="12"/>
      <c r="M2881" s="12"/>
      <c r="N2881" s="12"/>
      <c r="O2881" s="12"/>
      <c r="P2881" s="12"/>
      <c r="Q2881" s="12"/>
      <c r="R2881" s="12"/>
      <c r="S2881" s="12"/>
      <c r="T2881" s="12"/>
      <c r="V2881" s="12"/>
      <c r="W2881" s="12"/>
      <c r="X2881" s="12"/>
      <c r="Y2881" s="12"/>
      <c r="Z2881" s="12"/>
      <c r="AA2881" s="12"/>
      <c r="AB2881" s="12"/>
    </row>
    <row r="2882" spans="2:28" ht="16.5" x14ac:dyDescent="0.45">
      <c r="D2882" s="464"/>
      <c r="E2882" s="12"/>
      <c r="F2882" s="1"/>
      <c r="G2882" s="155" t="s">
        <v>7273</v>
      </c>
      <c r="I2882" s="155" t="s">
        <v>6934</v>
      </c>
      <c r="J2882" s="335"/>
      <c r="L2882" s="12"/>
      <c r="M2882" s="12"/>
      <c r="N2882" s="12"/>
      <c r="O2882" s="12"/>
      <c r="P2882" s="12"/>
      <c r="Q2882" s="12"/>
      <c r="R2882" s="12"/>
      <c r="S2882" s="12"/>
      <c r="T2882" s="12"/>
      <c r="V2882" s="12"/>
      <c r="W2882" s="12"/>
      <c r="X2882" s="12"/>
      <c r="Y2882" s="12"/>
      <c r="Z2882" s="12"/>
      <c r="AA2882" s="12"/>
      <c r="AB2882" s="12"/>
    </row>
    <row r="2883" spans="2:28" ht="16.5" x14ac:dyDescent="0.45">
      <c r="D2883" s="464"/>
      <c r="E2883" s="12"/>
      <c r="F2883" s="1"/>
      <c r="G2883" s="155" t="s">
        <v>7274</v>
      </c>
      <c r="I2883" s="155" t="str">
        <f>H1095</f>
        <v>±400pA max over temp (85C)</v>
      </c>
      <c r="J2883" s="335"/>
      <c r="L2883" s="12"/>
      <c r="M2883" s="12"/>
      <c r="N2883" s="12"/>
      <c r="O2883" s="12"/>
      <c r="P2883" s="12"/>
      <c r="Q2883" s="12"/>
      <c r="R2883" s="12"/>
      <c r="S2883" s="12"/>
      <c r="T2883" s="12"/>
      <c r="V2883" s="12"/>
      <c r="W2883" s="12"/>
      <c r="X2883" s="12"/>
      <c r="Y2883" s="12"/>
      <c r="Z2883" s="12"/>
      <c r="AA2883" s="12"/>
      <c r="AB2883" s="12"/>
    </row>
    <row r="2884" spans="2:28" x14ac:dyDescent="0.35">
      <c r="D2884" s="464"/>
      <c r="E2884" s="12"/>
      <c r="F2884" s="1"/>
      <c r="G2884" s="155"/>
      <c r="I2884" s="155"/>
      <c r="J2884" s="335"/>
      <c r="L2884" s="12"/>
      <c r="M2884" s="12"/>
      <c r="N2884" s="12"/>
      <c r="O2884" s="12"/>
      <c r="P2884" s="12"/>
      <c r="Q2884" s="12"/>
      <c r="R2884" s="12"/>
      <c r="S2884" s="12"/>
      <c r="T2884" s="12"/>
      <c r="V2884" s="12"/>
      <c r="W2884" s="12"/>
      <c r="X2884" s="12"/>
      <c r="Y2884" s="12"/>
      <c r="Z2884" s="12"/>
      <c r="AA2884" s="12"/>
      <c r="AB2884" s="12"/>
    </row>
    <row r="2885" spans="2:28" x14ac:dyDescent="0.35">
      <c r="D2885" t="s">
        <v>7271</v>
      </c>
      <c r="E2885" s="12"/>
      <c r="F2885" s="1"/>
      <c r="G2885" s="155" t="s">
        <v>6353</v>
      </c>
      <c r="I2885" s="155" t="str">
        <f>O1109</f>
        <v>102min 115typ with Vcm = -0.1 to (Vcc+0.1V)</v>
      </c>
      <c r="J2885" s="335"/>
      <c r="L2885" s="12"/>
      <c r="M2885" s="12"/>
      <c r="N2885" s="12"/>
      <c r="O2885" s="12"/>
      <c r="P2885" s="12"/>
      <c r="Q2885" s="12"/>
      <c r="R2885" s="12"/>
      <c r="S2885" s="12"/>
      <c r="T2885" s="12"/>
      <c r="V2885" s="12"/>
      <c r="W2885" s="12"/>
      <c r="X2885" s="12"/>
      <c r="Y2885" s="12"/>
      <c r="Z2885" s="12"/>
      <c r="AA2885" s="12"/>
      <c r="AB2885" s="12"/>
    </row>
    <row r="2886" spans="2:28" x14ac:dyDescent="0.35">
      <c r="D2886" s="758" t="s">
        <v>7277</v>
      </c>
      <c r="E2886" s="12"/>
      <c r="F2886" s="1"/>
      <c r="G2886" s="155" t="s">
        <v>2959</v>
      </c>
      <c r="I2886" s="155" t="str">
        <f>U1109</f>
        <v xml:space="preserve"> -0.1 to (Vcc + 0.1)</v>
      </c>
      <c r="J2886" s="335"/>
      <c r="L2886" s="12"/>
      <c r="M2886" s="12"/>
      <c r="N2886" s="12"/>
      <c r="O2886" s="12"/>
      <c r="P2886" s="12"/>
      <c r="Q2886" s="12"/>
      <c r="R2886" s="12"/>
      <c r="S2886" s="12"/>
      <c r="T2886" s="12"/>
      <c r="V2886" s="12"/>
      <c r="W2886" s="12"/>
      <c r="X2886" s="12"/>
      <c r="Y2886" s="12"/>
      <c r="Z2886" s="12"/>
      <c r="AA2886" s="12"/>
      <c r="AB2886" s="12"/>
    </row>
    <row r="2887" spans="2:28" x14ac:dyDescent="0.35">
      <c r="E2887" s="12"/>
      <c r="F2887" s="1"/>
      <c r="G2887" s="155" t="s">
        <v>2969</v>
      </c>
      <c r="I2887" s="155" t="str">
        <f>W1109</f>
        <v>100mV to (Vcc-100mV) for good open loop gain</v>
      </c>
      <c r="J2887" s="335"/>
      <c r="L2887" s="12"/>
      <c r="M2887" s="12"/>
      <c r="N2887" s="12"/>
      <c r="O2887" s="12"/>
      <c r="P2887" s="12"/>
      <c r="Q2887" s="12"/>
      <c r="R2887" s="12"/>
      <c r="S2887" s="12"/>
      <c r="T2887" s="12"/>
      <c r="V2887" s="12"/>
      <c r="W2887" s="12"/>
      <c r="X2887" s="12"/>
      <c r="Y2887" s="12"/>
      <c r="Z2887" s="12"/>
      <c r="AA2887" s="12"/>
      <c r="AB2887" s="12"/>
    </row>
    <row r="2888" spans="2:28" x14ac:dyDescent="0.35">
      <c r="D2888" s="464"/>
      <c r="E2888" s="12"/>
      <c r="F2888" s="1"/>
      <c r="G2888" s="155" t="s">
        <v>22</v>
      </c>
      <c r="I2888" s="155" t="s">
        <v>7272</v>
      </c>
      <c r="J2888" s="335"/>
      <c r="L2888" s="12"/>
      <c r="M2888" s="12"/>
      <c r="N2888" s="12"/>
      <c r="O2888" s="12"/>
      <c r="P2888" s="12"/>
      <c r="Q2888" s="12"/>
      <c r="R2888" s="12"/>
      <c r="S2888" s="12"/>
      <c r="T2888" s="12"/>
      <c r="V2888" s="12"/>
      <c r="W2888" s="12"/>
      <c r="X2888" s="12"/>
      <c r="Y2888" s="12"/>
      <c r="Z2888" s="12"/>
      <c r="AA2888" s="12"/>
      <c r="AB2888" s="12"/>
    </row>
    <row r="2889" spans="2:28" ht="16.5" x14ac:dyDescent="0.45">
      <c r="D2889" s="464"/>
      <c r="E2889" s="12"/>
      <c r="F2889" s="1"/>
      <c r="G2889" s="155" t="s">
        <v>7273</v>
      </c>
      <c r="I2889" s="476" t="str">
        <f>J1109</f>
        <v>2ty 15mx µVos @ 25°C,     0.02µV/C typical x 50°C = 1µVos additional (16typ µV total max over temp)</v>
      </c>
      <c r="J2889" s="335"/>
      <c r="L2889" s="12"/>
      <c r="M2889" s="12"/>
      <c r="N2889" s="12"/>
      <c r="O2889" s="12"/>
      <c r="P2889" s="12"/>
      <c r="Q2889" s="12"/>
      <c r="R2889" s="12"/>
      <c r="S2889" s="12"/>
      <c r="T2889" s="12"/>
      <c r="V2889" s="12"/>
      <c r="W2889" s="12"/>
      <c r="X2889" s="12"/>
      <c r="Y2889" s="12"/>
      <c r="Z2889" s="12"/>
      <c r="AA2889" s="12"/>
      <c r="AB2889" s="12"/>
    </row>
    <row r="2890" spans="2:28" ht="16.5" x14ac:dyDescent="0.45">
      <c r="D2890" s="464"/>
      <c r="E2890" s="12"/>
      <c r="F2890" s="1"/>
      <c r="G2890" s="155" t="s">
        <v>7274</v>
      </c>
      <c r="I2890" s="476" t="str">
        <f>H1109</f>
        <v>75typ pA @ 25C,    150pA typ over temp (125C),   max not specified,     Fig 7 shows bias not getting much worse as you increase temperature.  Graph shows input bias changing 7pA (195 to 202pA) when you change Cmv from 1V to 4V (this is an error that we see, 7pA x 50K = 0.35uVos)</v>
      </c>
      <c r="J2890" s="335"/>
      <c r="L2890" s="12"/>
      <c r="M2890" s="12"/>
      <c r="N2890" s="12"/>
      <c r="O2890" s="12"/>
      <c r="P2890" s="12"/>
      <c r="Q2890" s="12"/>
      <c r="R2890" s="12"/>
      <c r="S2890" s="12"/>
      <c r="T2890" s="12"/>
      <c r="V2890" s="12"/>
      <c r="W2890" s="12"/>
      <c r="X2890" s="12"/>
      <c r="Y2890" s="12"/>
      <c r="Z2890" s="12"/>
      <c r="AA2890" s="12"/>
      <c r="AB2890" s="12"/>
    </row>
    <row r="2891" spans="2:28" x14ac:dyDescent="0.35">
      <c r="D2891" s="464"/>
      <c r="E2891" s="12"/>
      <c r="F2891" s="1"/>
      <c r="G2891" s="155"/>
      <c r="I2891" s="476"/>
      <c r="J2891" s="335"/>
      <c r="L2891" s="12"/>
      <c r="M2891" s="12"/>
      <c r="N2891" s="12"/>
      <c r="O2891" s="12"/>
      <c r="P2891" s="12"/>
      <c r="Q2891" s="12"/>
      <c r="R2891" s="12"/>
      <c r="S2891" s="12"/>
      <c r="T2891" s="12"/>
      <c r="V2891" s="12"/>
      <c r="W2891" s="12"/>
      <c r="X2891" s="12"/>
      <c r="Y2891" s="12"/>
      <c r="Z2891" s="12"/>
      <c r="AA2891" s="12"/>
      <c r="AB2891" s="12"/>
    </row>
    <row r="2892" spans="2:28" x14ac:dyDescent="0.35">
      <c r="B2892" s="83" t="s">
        <v>6351</v>
      </c>
      <c r="D2892" s="464" t="s">
        <v>8885</v>
      </c>
      <c r="E2892" s="12"/>
      <c r="F2892" s="1"/>
      <c r="G2892" s="155" t="s">
        <v>6402</v>
      </c>
      <c r="I2892" s="155" t="s">
        <v>6347</v>
      </c>
      <c r="J2892" s="335"/>
      <c r="L2892" s="12"/>
      <c r="M2892" s="12"/>
      <c r="N2892" s="12"/>
      <c r="O2892" s="12"/>
      <c r="P2892" s="12"/>
      <c r="Q2892" s="12"/>
      <c r="R2892" s="12"/>
      <c r="S2892" s="12"/>
      <c r="T2892" s="12"/>
      <c r="V2892" s="12"/>
      <c r="W2892" s="12"/>
      <c r="X2892" s="12"/>
      <c r="Y2892" s="12"/>
      <c r="Z2892" s="12"/>
      <c r="AA2892" s="12"/>
      <c r="AB2892" s="12"/>
    </row>
    <row r="2893" spans="2:28" ht="16.5" x14ac:dyDescent="0.45">
      <c r="D2893" s="309" t="s">
        <v>8886</v>
      </c>
      <c r="E2893" s="12"/>
      <c r="F2893" s="1"/>
      <c r="G2893" s="155" t="s">
        <v>6391</v>
      </c>
      <c r="I2893" s="155" t="s">
        <v>8880</v>
      </c>
      <c r="J2893" s="335"/>
      <c r="L2893" s="12"/>
      <c r="M2893" s="12"/>
      <c r="N2893" s="12"/>
      <c r="O2893" s="12"/>
      <c r="P2893" s="12"/>
      <c r="Q2893" s="12"/>
      <c r="R2893" s="12"/>
      <c r="S2893" s="12"/>
      <c r="T2893" s="12"/>
      <c r="V2893" s="1" t="s">
        <v>6346</v>
      </c>
      <c r="W2893" s="12"/>
      <c r="X2893" s="12" t="s">
        <v>0</v>
      </c>
      <c r="Y2893" s="12"/>
      <c r="Z2893" s="12"/>
      <c r="AA2893" s="12"/>
      <c r="AB2893" s="12"/>
    </row>
    <row r="2894" spans="2:28" ht="16.5" x14ac:dyDescent="0.45">
      <c r="D2894" s="758" t="s">
        <v>8947</v>
      </c>
      <c r="E2894" s="12"/>
      <c r="F2894" s="1"/>
      <c r="G2894" s="155" t="s">
        <v>6399</v>
      </c>
      <c r="I2894" s="476" t="s">
        <v>8879</v>
      </c>
      <c r="J2894" s="335"/>
      <c r="L2894" s="12"/>
      <c r="M2894" s="12"/>
      <c r="N2894" s="12"/>
      <c r="O2894" s="12"/>
      <c r="P2894" s="12"/>
      <c r="Q2894" s="12"/>
      <c r="R2894" s="12"/>
      <c r="S2894" s="12"/>
      <c r="T2894" s="12"/>
      <c r="V2894" s="12"/>
      <c r="W2894" s="12"/>
      <c r="X2894" s="12"/>
      <c r="Y2894" s="12"/>
      <c r="Z2894" s="12"/>
      <c r="AA2894" s="12"/>
      <c r="AB2894" s="12"/>
    </row>
    <row r="2895" spans="2:28" ht="16.5" x14ac:dyDescent="0.45">
      <c r="D2895" s="464"/>
      <c r="E2895" s="12"/>
      <c r="F2895" s="1"/>
      <c r="G2895" s="326" t="s">
        <v>6401</v>
      </c>
      <c r="I2895" s="155" t="s">
        <v>8878</v>
      </c>
      <c r="J2895" s="335"/>
      <c r="L2895" s="12"/>
      <c r="M2895" s="12"/>
      <c r="N2895" s="12"/>
      <c r="O2895" s="12"/>
      <c r="P2895" s="12"/>
      <c r="Q2895" s="12"/>
      <c r="R2895" s="12"/>
      <c r="S2895" s="12"/>
      <c r="T2895" s="12"/>
      <c r="V2895" s="12"/>
      <c r="W2895" s="12"/>
      <c r="X2895" s="12"/>
      <c r="Y2895" s="12"/>
      <c r="Z2895" s="12"/>
      <c r="AA2895" s="12"/>
      <c r="AB2895" s="12"/>
    </row>
    <row r="2896" spans="2:28" ht="16.5" x14ac:dyDescent="0.45">
      <c r="D2896" s="464"/>
      <c r="E2896" s="12"/>
      <c r="F2896" s="1"/>
      <c r="G2896" s="155" t="s">
        <v>6400</v>
      </c>
      <c r="I2896" s="476" t="s">
        <v>8877</v>
      </c>
      <c r="J2896" s="335"/>
      <c r="L2896" s="12"/>
      <c r="M2896" s="12"/>
      <c r="N2896" s="12"/>
      <c r="O2896" s="12"/>
      <c r="P2896" s="12"/>
      <c r="Q2896" s="12"/>
      <c r="R2896" s="12"/>
      <c r="S2896" s="12"/>
      <c r="T2896" s="12"/>
      <c r="V2896" s="12"/>
      <c r="W2896" s="12"/>
      <c r="X2896" s="12"/>
      <c r="Y2896" s="12"/>
      <c r="Z2896" s="12"/>
      <c r="AA2896" s="12"/>
      <c r="AB2896" s="12"/>
    </row>
    <row r="2897" spans="2:28" x14ac:dyDescent="0.35">
      <c r="D2897" s="464"/>
      <c r="E2897" s="12"/>
      <c r="F2897" s="1"/>
      <c r="G2897" s="155"/>
      <c r="I2897" s="476"/>
      <c r="J2897" s="335"/>
      <c r="L2897" s="12"/>
      <c r="M2897" s="12"/>
      <c r="N2897" s="12"/>
      <c r="O2897" s="12"/>
      <c r="P2897" s="12"/>
      <c r="Q2897" s="12"/>
      <c r="R2897" s="12"/>
      <c r="S2897" s="12"/>
      <c r="T2897" s="12"/>
      <c r="V2897" s="12"/>
      <c r="W2897" s="12"/>
      <c r="X2897" s="12"/>
      <c r="Y2897" s="12"/>
      <c r="Z2897" s="12"/>
      <c r="AA2897" s="12"/>
      <c r="AB2897" s="12"/>
    </row>
    <row r="2898" spans="2:28" x14ac:dyDescent="0.35">
      <c r="D2898" s="464" t="s">
        <v>8949</v>
      </c>
      <c r="E2898" s="12"/>
      <c r="F2898" s="1"/>
      <c r="G2898" s="155" t="s">
        <v>6402</v>
      </c>
      <c r="I2898" s="155" t="s">
        <v>6744</v>
      </c>
      <c r="J2898" s="335"/>
      <c r="L2898" s="12"/>
      <c r="M2898" s="12"/>
      <c r="N2898" s="12"/>
      <c r="O2898" s="12"/>
      <c r="P2898" s="12"/>
      <c r="Q2898" s="12"/>
      <c r="R2898" s="12"/>
      <c r="S2898" s="12"/>
      <c r="T2898" s="12"/>
      <c r="V2898" s="12"/>
      <c r="W2898" s="684">
        <f>((4.3--1)*0.7)+  -1</f>
        <v>2.7099999999999995</v>
      </c>
      <c r="X2898" s="684" t="s">
        <v>6471</v>
      </c>
      <c r="Y2898" s="12"/>
      <c r="Z2898" s="12"/>
      <c r="AA2898" s="12"/>
      <c r="AB2898" s="12"/>
    </row>
    <row r="2899" spans="2:28" x14ac:dyDescent="0.35">
      <c r="D2899" s="464" t="s">
        <v>8950</v>
      </c>
      <c r="E2899" s="12"/>
      <c r="F2899" s="1"/>
      <c r="G2899" s="155"/>
      <c r="I2899" s="935" t="s">
        <v>8948</v>
      </c>
      <c r="J2899" s="335"/>
      <c r="L2899" s="12"/>
      <c r="M2899" s="12"/>
      <c r="N2899" s="12"/>
      <c r="O2899" s="12"/>
      <c r="P2899" s="12"/>
      <c r="Q2899" s="12"/>
      <c r="R2899" s="12"/>
      <c r="S2899" s="12"/>
      <c r="T2899" s="12"/>
      <c r="V2899" s="12"/>
      <c r="W2899" s="684"/>
      <c r="X2899" s="684"/>
      <c r="Y2899" s="12"/>
      <c r="Z2899" s="12"/>
      <c r="AA2899" s="12"/>
      <c r="AB2899" s="12"/>
    </row>
    <row r="2900" spans="2:28" x14ac:dyDescent="0.35">
      <c r="D2900" s="936" t="s">
        <v>8951</v>
      </c>
      <c r="E2900" s="12"/>
      <c r="F2900" s="1"/>
      <c r="G2900" s="155" t="s">
        <v>6391</v>
      </c>
      <c r="I2900" s="155" t="s">
        <v>6907</v>
      </c>
      <c r="J2900" s="335"/>
      <c r="L2900" s="12"/>
      <c r="M2900" s="12"/>
      <c r="N2900" s="12"/>
      <c r="O2900" s="12"/>
      <c r="P2900" s="12"/>
      <c r="Q2900" s="12"/>
      <c r="R2900" s="12"/>
      <c r="S2900" s="12"/>
      <c r="T2900" s="12"/>
      <c r="V2900" s="12"/>
      <c r="W2900" s="684">
        <f>((4.3--1)*0.3)+  -1</f>
        <v>0.58999999999999986</v>
      </c>
      <c r="X2900" s="684" t="s">
        <v>6472</v>
      </c>
      <c r="Y2900" s="12"/>
      <c r="Z2900" s="12"/>
      <c r="AA2900" s="12"/>
      <c r="AB2900" s="12"/>
    </row>
    <row r="2901" spans="2:28" ht="16.5" x14ac:dyDescent="0.45">
      <c r="D2901" s="936" t="s">
        <v>8952</v>
      </c>
      <c r="E2901" s="12"/>
      <c r="F2901" s="1"/>
      <c r="G2901" s="155" t="s">
        <v>6399</v>
      </c>
      <c r="I2901" s="155" t="s">
        <v>6394</v>
      </c>
      <c r="J2901" s="335"/>
      <c r="L2901" s="12"/>
      <c r="M2901" s="12"/>
      <c r="N2901" s="12"/>
      <c r="O2901" s="12"/>
      <c r="P2901" s="12"/>
      <c r="Q2901" s="12"/>
      <c r="R2901" s="12"/>
      <c r="S2901" s="12"/>
      <c r="T2901" s="12"/>
      <c r="V2901" s="12"/>
      <c r="W2901" s="12"/>
      <c r="X2901" s="12"/>
      <c r="Y2901" s="12"/>
      <c r="Z2901" s="12"/>
      <c r="AA2901" s="12"/>
      <c r="AB2901" s="12"/>
    </row>
    <row r="2902" spans="2:28" ht="16.5" x14ac:dyDescent="0.45">
      <c r="D2902" s="936"/>
      <c r="E2902" s="12"/>
      <c r="F2902" s="1"/>
      <c r="G2902" s="326" t="s">
        <v>6401</v>
      </c>
      <c r="I2902" s="155" t="s">
        <v>6395</v>
      </c>
      <c r="J2902" s="335"/>
      <c r="L2902" s="12"/>
      <c r="M2902" s="12"/>
      <c r="N2902" s="12"/>
      <c r="O2902" s="12"/>
      <c r="P2902" s="12"/>
      <c r="Q2902" s="12"/>
      <c r="R2902" s="12"/>
      <c r="S2902" s="12"/>
      <c r="T2902" s="12"/>
      <c r="V2902" s="12"/>
      <c r="W2902" s="12"/>
      <c r="X2902" s="12"/>
      <c r="Y2902" s="12"/>
      <c r="Z2902" s="12"/>
      <c r="AA2902" s="12"/>
      <c r="AB2902" s="12"/>
    </row>
    <row r="2903" spans="2:28" ht="16.5" x14ac:dyDescent="0.45">
      <c r="D2903" s="464"/>
      <c r="E2903" s="12"/>
      <c r="F2903" s="1"/>
      <c r="G2903" s="155" t="s">
        <v>6400</v>
      </c>
      <c r="I2903" s="155" t="s">
        <v>3130</v>
      </c>
      <c r="J2903" s="335"/>
      <c r="L2903" s="12"/>
      <c r="M2903" s="12"/>
      <c r="N2903" s="12"/>
      <c r="O2903" s="12"/>
      <c r="P2903" s="12"/>
      <c r="Q2903" s="12"/>
      <c r="R2903" s="12"/>
      <c r="S2903" s="12"/>
      <c r="T2903" s="12"/>
      <c r="V2903" s="12"/>
      <c r="W2903" s="12"/>
      <c r="X2903" s="12"/>
      <c r="Y2903" s="12"/>
      <c r="Z2903" s="12"/>
      <c r="AA2903" s="12"/>
      <c r="AB2903" s="12"/>
    </row>
    <row r="2904" spans="2:28" x14ac:dyDescent="0.35">
      <c r="D2904" s="464"/>
      <c r="E2904" s="12"/>
      <c r="F2904" s="1"/>
      <c r="G2904" s="155"/>
      <c r="I2904" s="155"/>
      <c r="J2904" s="335"/>
      <c r="L2904" s="12"/>
      <c r="M2904" s="939" t="s">
        <v>8954</v>
      </c>
      <c r="N2904" s="939" t="s">
        <v>8954</v>
      </c>
      <c r="O2904" s="939" t="s">
        <v>9113</v>
      </c>
      <c r="P2904" s="939" t="s">
        <v>8953</v>
      </c>
      <c r="Q2904" s="939" t="s">
        <v>9115</v>
      </c>
      <c r="S2904" s="939" t="s">
        <v>8954</v>
      </c>
      <c r="T2904" s="939" t="s">
        <v>8954</v>
      </c>
      <c r="U2904" s="939" t="s">
        <v>8954</v>
      </c>
      <c r="V2904" s="939" t="s">
        <v>9113</v>
      </c>
      <c r="W2904" s="939" t="s">
        <v>8953</v>
      </c>
      <c r="X2904" s="939" t="str">
        <f>Q2904</f>
        <v>This ok?</v>
      </c>
      <c r="Z2904" s="12"/>
      <c r="AA2904" s="12"/>
      <c r="AB2904" s="12"/>
    </row>
    <row r="2905" spans="2:28" ht="26.5" customHeight="1" x14ac:dyDescent="0.35">
      <c r="B2905" s="83" t="str">
        <f>"30%/70% Digital Control with -1V/4.3V Mux Power"</f>
        <v>30%/70% Digital Control with -1V/4.3V Mux Power</v>
      </c>
      <c r="E2905" s="12"/>
      <c r="F2905" s="1"/>
      <c r="G2905" s="307" t="s">
        <v>6908</v>
      </c>
      <c r="H2905" s="307" t="s">
        <v>6909</v>
      </c>
      <c r="I2905" s="155"/>
      <c r="J2905" s="307" t="s">
        <v>6910</v>
      </c>
      <c r="K2905" s="307" t="s">
        <v>6911</v>
      </c>
      <c r="L2905" s="12"/>
      <c r="M2905" s="575" t="str">
        <f>K2820</f>
        <v>Out low mx   ≤2mA load</v>
      </c>
      <c r="N2905" s="307" t="s">
        <v>9112</v>
      </c>
      <c r="O2905" s="307" t="s">
        <v>9114</v>
      </c>
      <c r="P2905" s="307" t="s">
        <v>9112</v>
      </c>
      <c r="Q2905" s="307"/>
      <c r="S2905" s="575" t="str">
        <f>I2820</f>
        <v>Vout hi min, ≥ 2mA load</v>
      </c>
      <c r="T2905" s="575" t="str">
        <f>H2854</f>
        <v>Vout hi min, 100uA load</v>
      </c>
      <c r="U2905" s="307" t="s">
        <v>9111</v>
      </c>
      <c r="V2905" s="307" t="s">
        <v>9114</v>
      </c>
      <c r="W2905" s="307" t="s">
        <v>9111</v>
      </c>
      <c r="X2905" s="307"/>
      <c r="Z2905" s="12"/>
      <c r="AA2905" s="12"/>
      <c r="AB2905" s="12"/>
    </row>
    <row r="2906" spans="2:28" x14ac:dyDescent="0.35">
      <c r="C2906" s="309"/>
      <c r="D2906" s="464"/>
      <c r="E2906" s="12"/>
      <c r="F2906" s="1"/>
      <c r="G2906" s="940">
        <f>G2926</f>
        <v>-0.91500000000000004</v>
      </c>
      <c r="H2906" s="940">
        <f>I2926</f>
        <v>-1.085</v>
      </c>
      <c r="I2906" s="941"/>
      <c r="J2906" s="941">
        <f>G2923</f>
        <v>4.1709999999999994</v>
      </c>
      <c r="K2906" s="941">
        <f>I2923</f>
        <v>4.4290000000000003</v>
      </c>
      <c r="L2906" s="938"/>
      <c r="M2906" s="938">
        <f>K2821</f>
        <v>0.4</v>
      </c>
      <c r="N2906" s="938">
        <f>M2906-G2906</f>
        <v>1.3149999999999999</v>
      </c>
      <c r="P2906" s="12">
        <f>((K2906-H2906)*0.3)</f>
        <v>1.6542000000000001</v>
      </c>
      <c r="Q2906" s="3" t="str">
        <f>IF(N2906&lt;P2906, "ok", "bad")</f>
        <v>ok</v>
      </c>
      <c r="S2906" s="940">
        <f>I2855</f>
        <v>2.8009999999999997</v>
      </c>
      <c r="T2906" s="938">
        <f>H2855</f>
        <v>3.0009999999999994</v>
      </c>
      <c r="U2906" s="938">
        <f>T2906-G2906</f>
        <v>3.9159999999999995</v>
      </c>
      <c r="W2906" s="12">
        <f>((K2906-H2906)*0.7)</f>
        <v>3.8597999999999999</v>
      </c>
      <c r="X2906" s="3" t="str">
        <f>IF(U2906&gt;W2906, "ok", "bad")</f>
        <v>ok</v>
      </c>
      <c r="Z2906" s="12"/>
      <c r="AA2906" s="12"/>
      <c r="AB2906" s="12"/>
    </row>
    <row r="2907" spans="2:28" x14ac:dyDescent="0.35">
      <c r="D2907" s="464"/>
      <c r="E2907" s="12"/>
      <c r="F2907" s="1"/>
      <c r="G2907" s="704"/>
      <c r="H2907" s="704"/>
      <c r="I2907" s="236"/>
      <c r="J2907" s="236"/>
      <c r="K2907" s="236"/>
      <c r="L2907" s="12"/>
      <c r="M2907" s="12"/>
      <c r="N2907" s="12"/>
      <c r="Q2907" s="3"/>
      <c r="S2907" s="12"/>
      <c r="T2907" s="12"/>
      <c r="U2907" s="12"/>
      <c r="X2907" s="3"/>
      <c r="Z2907" s="12"/>
      <c r="AA2907" s="12"/>
      <c r="AB2907" s="12"/>
    </row>
    <row r="2908" spans="2:28" x14ac:dyDescent="0.35">
      <c r="D2908" s="464"/>
      <c r="E2908" s="12"/>
      <c r="F2908" s="1"/>
      <c r="M2908" s="939" t="str">
        <f>M2904</f>
        <v>Fpga Out</v>
      </c>
      <c r="N2908" s="939" t="str">
        <f>N2904</f>
        <v>Fpga Out</v>
      </c>
      <c r="O2908" s="939" t="str">
        <f>O2904</f>
        <v>2:1 Divider</v>
      </c>
      <c r="P2908" s="939" t="str">
        <f>P2904</f>
        <v>Mux IN</v>
      </c>
      <c r="Q2908" s="939" t="str">
        <f>Q2904</f>
        <v>This ok?</v>
      </c>
      <c r="S2908" s="939" t="str">
        <f t="shared" ref="S2908:U2909" si="123">S2904</f>
        <v>Fpga Out</v>
      </c>
      <c r="T2908" s="939" t="str">
        <f t="shared" si="123"/>
        <v>Fpga Out</v>
      </c>
      <c r="U2908" s="939" t="str">
        <f t="shared" si="123"/>
        <v>Fpga Out</v>
      </c>
      <c r="V2908" s="939" t="str">
        <f t="shared" ref="V2908" si="124">V2904</f>
        <v>2:1 Divider</v>
      </c>
      <c r="W2908" s="939" t="str">
        <f>W2904</f>
        <v>Mux IN</v>
      </c>
      <c r="X2908" s="939" t="str">
        <f>X2904</f>
        <v>This ok?</v>
      </c>
      <c r="Z2908" s="12"/>
      <c r="AA2908" s="12"/>
      <c r="AB2908" s="12"/>
    </row>
    <row r="2909" spans="2:28" ht="24.5" customHeight="1" x14ac:dyDescent="0.35">
      <c r="B2909" s="83" t="str">
        <f>"0.8V/2V Digital Control with -1V/4.3V Mux Power"</f>
        <v>0.8V/2V Digital Control with -1V/4.3V Mux Power</v>
      </c>
      <c r="D2909" s="464"/>
      <c r="E2909" s="12"/>
      <c r="F2909" s="1"/>
      <c r="G2909" s="307" t="s">
        <v>6908</v>
      </c>
      <c r="H2909" s="307" t="s">
        <v>6909</v>
      </c>
      <c r="I2909" s="236"/>
      <c r="J2909" s="307" t="s">
        <v>6910</v>
      </c>
      <c r="K2909" s="307" t="s">
        <v>6911</v>
      </c>
      <c r="L2909" s="12"/>
      <c r="M2909" s="575" t="str">
        <f>M2905</f>
        <v>Out low mx   ≤2mA load</v>
      </c>
      <c r="N2909" s="575" t="str">
        <f>N2905</f>
        <v>Din lo Max wrt IC gnd</v>
      </c>
      <c r="O2909" s="575" t="str">
        <f>O2905</f>
        <v>Output wrt IC gnd</v>
      </c>
      <c r="P2909" s="575" t="str">
        <f>P2905</f>
        <v>Din lo Max wrt IC gnd</v>
      </c>
      <c r="Q2909" s="575"/>
      <c r="S2909" s="575" t="str">
        <f t="shared" si="123"/>
        <v>Vout hi min, ≥ 2mA load</v>
      </c>
      <c r="T2909" s="575" t="str">
        <f t="shared" si="123"/>
        <v>Vout hi min, 100uA load</v>
      </c>
      <c r="U2909" s="575" t="str">
        <f t="shared" si="123"/>
        <v>Din hi Min wrt IC gnd</v>
      </c>
      <c r="V2909" s="575" t="str">
        <f t="shared" ref="V2909" si="125">V2905</f>
        <v>Output wrt IC gnd</v>
      </c>
      <c r="W2909" s="575" t="str">
        <f t="shared" ref="W2909" si="126">W2905</f>
        <v>Din hi Min wrt IC gnd</v>
      </c>
      <c r="X2909" s="575"/>
      <c r="Z2909" s="12"/>
      <c r="AA2909" s="12"/>
      <c r="AB2909" s="12"/>
    </row>
    <row r="2910" spans="2:28" x14ac:dyDescent="0.35">
      <c r="C2910" s="309" t="str">
        <f>Z2910</f>
        <v>Drive Din via 10K / 10K voltage divider</v>
      </c>
      <c r="D2910" s="464"/>
      <c r="E2910" s="12"/>
      <c r="F2910" s="1"/>
      <c r="G2910" s="940">
        <f>G2906</f>
        <v>-0.91500000000000004</v>
      </c>
      <c r="H2910" s="940">
        <f>H2906</f>
        <v>-1.085</v>
      </c>
      <c r="I2910" s="941"/>
      <c r="J2910" s="940">
        <f>J2906</f>
        <v>4.1709999999999994</v>
      </c>
      <c r="K2910" s="940">
        <f>K2906</f>
        <v>4.4290000000000003</v>
      </c>
      <c r="L2910" s="938"/>
      <c r="M2910" s="940">
        <f>M2906</f>
        <v>0.4</v>
      </c>
      <c r="N2910" s="938">
        <f>M2910-G2910</f>
        <v>1.3149999999999999</v>
      </c>
      <c r="O2910" s="12">
        <f>N2906/2</f>
        <v>0.65749999999999997</v>
      </c>
      <c r="P2910" s="12">
        <v>0.8</v>
      </c>
      <c r="Q2910" s="3" t="str">
        <f>IF(O2910&lt;P2910, "ok", "bad")</f>
        <v>ok</v>
      </c>
      <c r="S2910" s="940">
        <f>S2906</f>
        <v>2.8009999999999997</v>
      </c>
      <c r="T2910" s="940">
        <f>T2906+0.1</f>
        <v>3.1009999999999995</v>
      </c>
      <c r="U2910" s="938">
        <f>T2910-G2910</f>
        <v>4.016</v>
      </c>
      <c r="V2910" s="12">
        <f>U2910/2</f>
        <v>2.008</v>
      </c>
      <c r="W2910" s="12">
        <v>2</v>
      </c>
      <c r="X2910" s="3" t="str">
        <f>IF(V2910&gt;W2910, "ok", "bad")</f>
        <v>ok</v>
      </c>
      <c r="Z2910" t="s">
        <v>8970</v>
      </c>
      <c r="AA2910" s="12"/>
      <c r="AB2910" s="12"/>
    </row>
    <row r="2911" spans="2:28" x14ac:dyDescent="0.35">
      <c r="C2911" s="309"/>
      <c r="D2911" s="464"/>
      <c r="E2911" s="12"/>
      <c r="F2911" s="1"/>
      <c r="G2911" s="940"/>
      <c r="H2911" s="940"/>
      <c r="I2911" s="941"/>
      <c r="J2911" s="940"/>
      <c r="K2911" s="940"/>
      <c r="L2911" s="938"/>
      <c r="M2911" s="940"/>
      <c r="N2911" s="12"/>
      <c r="Q2911" s="3"/>
      <c r="S2911" s="940"/>
      <c r="T2911" s="940"/>
      <c r="U2911" s="938"/>
      <c r="X2911" s="3"/>
      <c r="Z2911" s="12"/>
      <c r="AA2911" s="12"/>
      <c r="AB2911" s="12"/>
    </row>
    <row r="2912" spans="2:28" x14ac:dyDescent="0.35">
      <c r="C2912" s="309"/>
      <c r="D2912" s="464"/>
      <c r="E2912" s="12"/>
      <c r="F2912" s="1"/>
      <c r="G2912" s="155"/>
      <c r="I2912" s="155"/>
      <c r="J2912" s="335"/>
      <c r="L2912" s="12"/>
      <c r="M2912" s="939" t="str">
        <f t="shared" ref="M2912:P2913" si="127">M2904</f>
        <v>Fpga Out</v>
      </c>
      <c r="N2912" s="939" t="str">
        <f t="shared" si="127"/>
        <v>Fpga Out</v>
      </c>
      <c r="O2912" s="939" t="str">
        <f t="shared" si="127"/>
        <v>2:1 Divider</v>
      </c>
      <c r="P2912" s="939" t="str">
        <f t="shared" si="127"/>
        <v>Mux IN</v>
      </c>
      <c r="Q2912" s="939" t="str">
        <f>Q2908</f>
        <v>This ok?</v>
      </c>
      <c r="S2912" s="939" t="str">
        <f>S2904</f>
        <v>Fpga Out</v>
      </c>
      <c r="T2912" s="939" t="str">
        <f t="shared" ref="T2912:U2912" si="128">T2904</f>
        <v>Fpga Out</v>
      </c>
      <c r="U2912" s="939" t="str">
        <f t="shared" si="128"/>
        <v>Fpga Out</v>
      </c>
      <c r="V2912" s="939" t="str">
        <f t="shared" ref="V2912" si="129">V2904</f>
        <v>2:1 Divider</v>
      </c>
      <c r="W2912" s="939" t="str">
        <f>W2904</f>
        <v>Mux IN</v>
      </c>
      <c r="X2912" s="939" t="str">
        <f>X2904</f>
        <v>This ok?</v>
      </c>
      <c r="Z2912" s="12"/>
      <c r="AA2912" s="12"/>
      <c r="AB2912" s="12"/>
    </row>
    <row r="2913" spans="1:28" ht="24.5" x14ac:dyDescent="0.35">
      <c r="B2913" s="83" t="str">
        <f>"19%/25% Digital Control with -1V/4.3V Mux Power"</f>
        <v>19%/25% Digital Control with -1V/4.3V Mux Power</v>
      </c>
      <c r="D2913" s="464"/>
      <c r="E2913" s="12"/>
      <c r="F2913" s="1"/>
      <c r="G2913" s="307" t="s">
        <v>6908</v>
      </c>
      <c r="H2913" s="307" t="s">
        <v>6909</v>
      </c>
      <c r="I2913" s="155"/>
      <c r="J2913" s="307" t="s">
        <v>6910</v>
      </c>
      <c r="K2913" s="307" t="s">
        <v>6911</v>
      </c>
      <c r="L2913" s="12"/>
      <c r="M2913" s="575" t="str">
        <f t="shared" si="127"/>
        <v>Out low mx   ≤2mA load</v>
      </c>
      <c r="N2913" s="575" t="str">
        <f t="shared" si="127"/>
        <v>Din lo Max wrt IC gnd</v>
      </c>
      <c r="O2913" s="575" t="str">
        <f t="shared" si="127"/>
        <v>Output wrt IC gnd</v>
      </c>
      <c r="P2913" s="575" t="str">
        <f t="shared" si="127"/>
        <v>Din lo Max wrt IC gnd</v>
      </c>
      <c r="Q2913" s="575"/>
      <c r="S2913" s="575" t="str">
        <f>S2905</f>
        <v>Vout hi min, ≥ 2mA load</v>
      </c>
      <c r="T2913" s="575" t="str">
        <f>T2905</f>
        <v>Vout hi min, 100uA load</v>
      </c>
      <c r="U2913" s="307" t="str">
        <f>U2905</f>
        <v>Din hi Min wrt IC gnd</v>
      </c>
      <c r="V2913" s="307" t="str">
        <f>V2905</f>
        <v>Output wrt IC gnd</v>
      </c>
      <c r="W2913" s="307" t="str">
        <f>W2905</f>
        <v>Din hi Min wrt IC gnd</v>
      </c>
      <c r="X2913" s="307"/>
      <c r="Z2913" s="12"/>
      <c r="AA2913" s="12"/>
      <c r="AB2913" s="12"/>
    </row>
    <row r="2914" spans="1:28" x14ac:dyDescent="0.35">
      <c r="C2914" s="309" t="s">
        <v>8970</v>
      </c>
      <c r="D2914" s="464"/>
      <c r="E2914" s="12"/>
      <c r="F2914" s="1"/>
      <c r="G2914" s="940">
        <f>G2906</f>
        <v>-0.91500000000000004</v>
      </c>
      <c r="H2914" s="940">
        <f>H2906</f>
        <v>-1.085</v>
      </c>
      <c r="I2914" s="941"/>
      <c r="J2914" s="940">
        <f>J2906</f>
        <v>4.1709999999999994</v>
      </c>
      <c r="K2914" s="940">
        <f>K2906</f>
        <v>4.4290000000000003</v>
      </c>
      <c r="L2914" s="938"/>
      <c r="M2914" s="940">
        <f>M2906</f>
        <v>0.4</v>
      </c>
      <c r="N2914" s="938">
        <f>M2914-G2914</f>
        <v>1.3149999999999999</v>
      </c>
      <c r="O2914" s="12">
        <f>N2914/2</f>
        <v>0.65749999999999997</v>
      </c>
      <c r="P2914" s="12">
        <f>((K2914-H2914)*0.19)</f>
        <v>1.04766</v>
      </c>
      <c r="Q2914" s="3" t="str">
        <f>IF(O2914&lt;P2914, "ok", "bad")</f>
        <v>ok</v>
      </c>
      <c r="S2914" s="940">
        <f>S2906</f>
        <v>2.8009999999999997</v>
      </c>
      <c r="T2914" s="940">
        <f>T2906</f>
        <v>3.0009999999999994</v>
      </c>
      <c r="U2914" s="938">
        <f>T2914-G2914</f>
        <v>3.9159999999999995</v>
      </c>
      <c r="V2914" s="12">
        <f>U2914/2</f>
        <v>1.9579999999999997</v>
      </c>
      <c r="W2914" s="12">
        <f>((K2914-H2914)*0.25)</f>
        <v>1.3785000000000001</v>
      </c>
      <c r="X2914" s="3" t="str">
        <f>IF(V2914&gt;W2914, "ok", "bad")</f>
        <v>ok</v>
      </c>
      <c r="Z2914" t="s">
        <v>8970</v>
      </c>
      <c r="AA2914" s="12"/>
      <c r="AB2914" s="12"/>
    </row>
    <row r="2915" spans="1:28" x14ac:dyDescent="0.35">
      <c r="D2915" s="464"/>
      <c r="E2915" s="12"/>
      <c r="F2915" s="1"/>
      <c r="G2915" s="155"/>
      <c r="J2915" s="335"/>
      <c r="L2915" s="12"/>
      <c r="M2915" s="12"/>
      <c r="N2915" s="12"/>
      <c r="O2915" s="12"/>
      <c r="P2915" s="12"/>
      <c r="Q2915" s="12"/>
      <c r="R2915" s="12"/>
      <c r="S2915" s="12"/>
      <c r="T2915" s="12"/>
      <c r="V2915" s="12"/>
      <c r="W2915" s="12"/>
      <c r="X2915" s="12"/>
      <c r="Y2915" s="12"/>
      <c r="Z2915" s="12"/>
      <c r="AA2915" s="12"/>
      <c r="AB2915" s="12"/>
    </row>
    <row r="2916" spans="1:28" x14ac:dyDescent="0.35">
      <c r="B2916" s="83" t="s">
        <v>6418</v>
      </c>
      <c r="E2916" s="325"/>
      <c r="F2916" s="325"/>
      <c r="G2916" s="325" t="s">
        <v>6419</v>
      </c>
      <c r="H2916" s="325"/>
      <c r="I2916" s="325"/>
      <c r="J2916" s="325"/>
      <c r="K2916" s="325"/>
      <c r="L2916" s="325"/>
      <c r="M2916" s="325"/>
      <c r="N2916" s="325"/>
      <c r="O2916" s="325"/>
      <c r="P2916" s="325"/>
      <c r="Q2916" s="325"/>
      <c r="R2916" s="325"/>
      <c r="S2916" s="325"/>
      <c r="T2916" s="325"/>
      <c r="V2916" s="12"/>
      <c r="W2916" s="12"/>
      <c r="X2916" s="12"/>
      <c r="Y2916" s="12"/>
      <c r="Z2916" s="12"/>
      <c r="AA2916" s="12"/>
      <c r="AB2916" s="12"/>
    </row>
    <row r="2917" spans="1:28" x14ac:dyDescent="0.35">
      <c r="D2917" s="325"/>
      <c r="E2917" s="325"/>
      <c r="F2917" s="325"/>
      <c r="G2917" s="325"/>
      <c r="H2917" s="325"/>
      <c r="I2917" s="325"/>
      <c r="J2917" s="325"/>
      <c r="K2917" s="325"/>
      <c r="L2917" s="325"/>
      <c r="M2917" s="325"/>
      <c r="N2917" s="325"/>
      <c r="O2917" s="325"/>
      <c r="P2917" s="325"/>
      <c r="Q2917" s="325"/>
      <c r="R2917" s="325"/>
      <c r="S2917" s="325"/>
      <c r="T2917" s="325"/>
      <c r="V2917" s="12"/>
      <c r="W2917" s="12"/>
      <c r="X2917" s="12"/>
      <c r="Y2917" s="12"/>
      <c r="Z2917" s="12"/>
      <c r="AA2917" s="12"/>
      <c r="AB2917" s="12"/>
    </row>
    <row r="2918" spans="1:28" s="5" customFormat="1" x14ac:dyDescent="0.35">
      <c r="A2918" s="86" t="s">
        <v>7959</v>
      </c>
    </row>
    <row r="2919" spans="1:28" x14ac:dyDescent="0.35">
      <c r="D2919" s="325"/>
      <c r="E2919" s="325"/>
      <c r="F2919" s="325"/>
      <c r="G2919" s="325"/>
      <c r="H2919" s="325"/>
      <c r="I2919" s="325"/>
      <c r="J2919" s="325"/>
      <c r="K2919" s="325"/>
      <c r="L2919" s="325"/>
      <c r="M2919" s="325"/>
      <c r="N2919" s="325"/>
      <c r="O2919" s="325"/>
      <c r="P2919" s="325"/>
      <c r="Q2919" s="325"/>
      <c r="R2919" s="325"/>
      <c r="S2919" s="325"/>
      <c r="T2919" s="325"/>
      <c r="V2919" s="12"/>
      <c r="W2919" s="12"/>
      <c r="X2919" s="12"/>
      <c r="Y2919" s="12"/>
      <c r="Z2919" s="12"/>
      <c r="AA2919" s="12"/>
      <c r="AB2919" s="12"/>
    </row>
    <row r="2920" spans="1:28" ht="24.5" x14ac:dyDescent="0.35">
      <c r="B2920" s="83" t="s">
        <v>6617</v>
      </c>
      <c r="D2920" s="325"/>
      <c r="E2920" s="318"/>
      <c r="F2920" s="330"/>
      <c r="G2920" s="654" t="s">
        <v>6609</v>
      </c>
      <c r="H2920" s="654" t="s">
        <v>6610</v>
      </c>
      <c r="I2920" s="654" t="s">
        <v>6611</v>
      </c>
      <c r="J2920" s="654" t="s">
        <v>6612</v>
      </c>
      <c r="K2920" s="318"/>
      <c r="L2920" s="654" t="s">
        <v>6644</v>
      </c>
      <c r="M2920" s="654" t="s">
        <v>6645</v>
      </c>
      <c r="O2920" s="654" t="s">
        <v>6624</v>
      </c>
      <c r="P2920" s="675"/>
      <c r="Q2920" s="676"/>
      <c r="R2920" s="677"/>
      <c r="T2920" s="654" t="s">
        <v>6625</v>
      </c>
      <c r="U2920" s="654" t="s">
        <v>6626</v>
      </c>
      <c r="V2920" s="654" t="s">
        <v>6627</v>
      </c>
      <c r="W2920" s="654" t="s">
        <v>6629</v>
      </c>
      <c r="X2920" s="654" t="s">
        <v>6630</v>
      </c>
    </row>
    <row r="2921" spans="1:28" x14ac:dyDescent="0.35">
      <c r="D2921" s="683" t="s">
        <v>6623</v>
      </c>
      <c r="E2921" s="318"/>
      <c r="F2921" s="330"/>
      <c r="G2921" s="680">
        <v>4.8</v>
      </c>
      <c r="H2921" s="320">
        <v>5</v>
      </c>
      <c r="I2921" s="320">
        <v>6</v>
      </c>
      <c r="J2921" s="436"/>
      <c r="K2921" s="318"/>
      <c r="M2921" s="329"/>
      <c r="O2921" s="672" t="s">
        <v>6622</v>
      </c>
      <c r="P2921" s="318"/>
      <c r="Q2921" s="324"/>
      <c r="R2921" s="321"/>
    </row>
    <row r="2922" spans="1:28" x14ac:dyDescent="0.35">
      <c r="D2922" s="325" t="s">
        <v>6674</v>
      </c>
      <c r="E2922" s="318"/>
      <c r="F2922" s="330"/>
      <c r="G2922" s="320">
        <f>G2921-0.1</f>
        <v>4.7</v>
      </c>
      <c r="H2922" s="320">
        <f t="shared" ref="H2922:I2922" si="130">H2921-0.1</f>
        <v>4.9000000000000004</v>
      </c>
      <c r="I2922" s="320">
        <f t="shared" si="130"/>
        <v>5.9</v>
      </c>
      <c r="J2922" s="673"/>
      <c r="K2922" s="318"/>
      <c r="L2922" s="320"/>
      <c r="M2922" s="634"/>
      <c r="O2922" t="s">
        <v>6675</v>
      </c>
      <c r="P2922" s="318"/>
      <c r="Q2922" s="324"/>
      <c r="R2922" s="321"/>
    </row>
    <row r="2923" spans="1:28" x14ac:dyDescent="0.35">
      <c r="D2923" s="683" t="s">
        <v>6739</v>
      </c>
      <c r="E2923" s="318"/>
      <c r="F2923" s="330"/>
      <c r="G2923" s="320">
        <f>H2923-(J2923*H2923)</f>
        <v>4.1709999999999994</v>
      </c>
      <c r="H2923" s="680">
        <v>4.3</v>
      </c>
      <c r="I2923" s="320">
        <f>H2923+(J2923*H2923)</f>
        <v>4.4290000000000003</v>
      </c>
      <c r="J2923" s="679">
        <v>0.03</v>
      </c>
      <c r="K2923" s="318"/>
      <c r="L2923" s="689">
        <v>0.23</v>
      </c>
      <c r="M2923" s="634">
        <f>I2923+L2923</f>
        <v>4.6590000000000007</v>
      </c>
      <c r="O2923" t="s">
        <v>6677</v>
      </c>
      <c r="P2923" s="318"/>
      <c r="Q2923" s="324"/>
      <c r="R2923" s="321"/>
      <c r="T2923" s="393" t="s">
        <v>6628</v>
      </c>
      <c r="U2923" s="393" t="s">
        <v>6628</v>
      </c>
      <c r="V2923" s="393" t="s">
        <v>3198</v>
      </c>
      <c r="W2923" s="393" t="s">
        <v>3198</v>
      </c>
      <c r="X2923" s="393" t="s">
        <v>6628</v>
      </c>
    </row>
    <row r="2924" spans="1:28" x14ac:dyDescent="0.35">
      <c r="D2924" s="683" t="s">
        <v>6712</v>
      </c>
      <c r="E2924" s="318"/>
      <c r="F2924" s="330"/>
      <c r="G2924" s="320">
        <f>H2924-(J2924*H2924)</f>
        <v>3.5100000000000002</v>
      </c>
      <c r="H2924" s="680">
        <v>3.6</v>
      </c>
      <c r="I2924" s="320">
        <f>H2924+(J2924*H2924)</f>
        <v>3.69</v>
      </c>
      <c r="J2924" s="679">
        <v>2.5000000000000001E-2</v>
      </c>
      <c r="K2924" s="318"/>
      <c r="L2924" s="689">
        <v>0.5</v>
      </c>
      <c r="M2924" s="634">
        <f>I2924+L2924</f>
        <v>4.1899999999999995</v>
      </c>
      <c r="O2924" t="s">
        <v>6681</v>
      </c>
      <c r="T2924" s="393" t="s">
        <v>6648</v>
      </c>
      <c r="U2924" s="393" t="s">
        <v>6648</v>
      </c>
      <c r="V2924" s="393"/>
      <c r="W2924" s="393"/>
      <c r="X2924" s="393" t="s">
        <v>6649</v>
      </c>
    </row>
    <row r="2925" spans="1:28" x14ac:dyDescent="0.35">
      <c r="D2925" s="683" t="s">
        <v>6711</v>
      </c>
      <c r="E2925" s="318"/>
      <c r="F2925" s="330"/>
      <c r="G2925" s="320">
        <f>H2925-(J2925*H2925)</f>
        <v>3.2009999999999996</v>
      </c>
      <c r="H2925" s="680">
        <v>3.3</v>
      </c>
      <c r="I2925" s="320">
        <f>H2925+(J2925*H2925)</f>
        <v>3.399</v>
      </c>
      <c r="J2925" s="679">
        <v>0.03</v>
      </c>
      <c r="K2925" s="318"/>
      <c r="L2925" s="320"/>
      <c r="M2925" s="634"/>
    </row>
    <row r="2926" spans="1:28" x14ac:dyDescent="0.35">
      <c r="D2926" s="683" t="str">
        <f>"-1V_Apwr (Analog)"</f>
        <v>-1V_Apwr (Analog)</v>
      </c>
      <c r="E2926" s="318"/>
      <c r="F2926" s="330"/>
      <c r="G2926" s="320">
        <f>H2926-(J2926*H2926)</f>
        <v>-0.91500000000000004</v>
      </c>
      <c r="H2926" s="680">
        <v>-1</v>
      </c>
      <c r="I2926" s="320">
        <f>H2926+(J2926*H2926)</f>
        <v>-1.085</v>
      </c>
      <c r="J2926" s="679">
        <v>8.5000000000000006E-2</v>
      </c>
      <c r="K2926" s="318"/>
      <c r="L2926" s="320"/>
      <c r="M2926" s="634"/>
    </row>
    <row r="2927" spans="1:28" x14ac:dyDescent="0.35">
      <c r="D2927" s="683" t="s">
        <v>6682</v>
      </c>
      <c r="E2927" s="318"/>
      <c r="F2927" s="330"/>
      <c r="G2927" s="320">
        <f>H2927-(J2927*H2927)</f>
        <v>3.2903799999999999</v>
      </c>
      <c r="H2927" s="680">
        <v>3.3</v>
      </c>
      <c r="I2927" s="320">
        <f>H2927+(J2927*H2927)</f>
        <v>3.3096199999999998</v>
      </c>
      <c r="J2927" s="679">
        <f>P2824</f>
        <v>2.9151515151515373E-3</v>
      </c>
      <c r="K2927" s="318"/>
      <c r="L2927" s="320"/>
      <c r="M2927" s="634"/>
    </row>
    <row r="2928" spans="1:28" x14ac:dyDescent="0.35">
      <c r="D2928" s="683" t="s">
        <v>7297</v>
      </c>
      <c r="E2928" s="318"/>
      <c r="F2928" s="330"/>
      <c r="G2928" s="680">
        <v>3.4</v>
      </c>
      <c r="H2928" s="680">
        <v>3.45</v>
      </c>
      <c r="I2928" s="680">
        <v>3.55</v>
      </c>
      <c r="J2928" s="679"/>
      <c r="K2928" s="318"/>
      <c r="L2928" s="320"/>
      <c r="M2928" s="634"/>
      <c r="O2928" t="s">
        <v>7298</v>
      </c>
    </row>
    <row r="2929" spans="2:30" x14ac:dyDescent="0.35">
      <c r="D2929" s="672" t="s">
        <v>6685</v>
      </c>
      <c r="G2929" s="10">
        <v>0</v>
      </c>
      <c r="H2929" s="10">
        <v>0</v>
      </c>
      <c r="I2929" s="10">
        <v>0</v>
      </c>
      <c r="J2929" s="679"/>
      <c r="K2929" s="318"/>
      <c r="L2929" s="320"/>
      <c r="M2929" s="634"/>
    </row>
    <row r="2930" spans="2:30" x14ac:dyDescent="0.35">
      <c r="D2930" s="672"/>
      <c r="G2930" s="10"/>
      <c r="H2930" s="10"/>
      <c r="I2930" s="10"/>
      <c r="J2930" s="679"/>
      <c r="K2930" s="318"/>
      <c r="L2930" s="320"/>
      <c r="M2930" s="634"/>
    </row>
    <row r="2931" spans="2:30" ht="26" customHeight="1" x14ac:dyDescent="0.35">
      <c r="B2931" s="83" t="s">
        <v>6618</v>
      </c>
      <c r="D2931" s="325"/>
      <c r="E2931" s="318"/>
      <c r="F2931" s="330"/>
      <c r="G2931" s="654" t="s">
        <v>7281</v>
      </c>
      <c r="H2931" s="654" t="s">
        <v>6619</v>
      </c>
      <c r="I2931" s="654" t="s">
        <v>6650</v>
      </c>
      <c r="J2931" s="654" t="s">
        <v>6620</v>
      </c>
      <c r="K2931" s="320"/>
      <c r="L2931" s="654" t="s">
        <v>7282</v>
      </c>
      <c r="M2931" s="654" t="s">
        <v>6609</v>
      </c>
      <c r="N2931" s="654" t="s">
        <v>6610</v>
      </c>
      <c r="O2931" s="654" t="s">
        <v>6611</v>
      </c>
      <c r="Q2931" s="654" t="s">
        <v>7290</v>
      </c>
      <c r="R2931" s="654" t="s">
        <v>7289</v>
      </c>
      <c r="S2931" s="654" t="s">
        <v>7283</v>
      </c>
      <c r="T2931" s="654" t="s">
        <v>7284</v>
      </c>
      <c r="V2931" s="654" t="s">
        <v>7285</v>
      </c>
      <c r="W2931" s="654" t="s">
        <v>7286</v>
      </c>
      <c r="X2931" s="654" t="s">
        <v>7287</v>
      </c>
      <c r="Y2931" s="654" t="str">
        <f>"OpAmp (V)   +Headroom"</f>
        <v>OpAmp (V)   +Headroom</v>
      </c>
      <c r="AA2931" s="654" t="s">
        <v>6624</v>
      </c>
      <c r="AB2931" s="4"/>
      <c r="AC2931" s="4"/>
      <c r="AD2931" s="4"/>
    </row>
    <row r="2932" spans="2:30" x14ac:dyDescent="0.35">
      <c r="D2932" s="325" t="s">
        <v>6345</v>
      </c>
      <c r="E2932" s="318"/>
      <c r="F2932" s="330"/>
      <c r="G2932" s="295" t="str">
        <f>D$2923</f>
        <v>4.3V_Apwr (Analog)</v>
      </c>
      <c r="H2932" s="320">
        <f t="shared" ref="H2932:J2934" si="131">G$2923</f>
        <v>4.1709999999999994</v>
      </c>
      <c r="I2932" s="320">
        <f t="shared" si="131"/>
        <v>4.3</v>
      </c>
      <c r="J2932" s="320">
        <f t="shared" si="131"/>
        <v>4.4290000000000003</v>
      </c>
      <c r="L2932" s="295" t="str">
        <f>D$2926</f>
        <v>-1V_Apwr (Analog)</v>
      </c>
      <c r="M2932" s="10">
        <f>G$2926</f>
        <v>-0.91500000000000004</v>
      </c>
      <c r="N2932" s="10">
        <f t="shared" ref="N2932:O2932" si="132">H$2926</f>
        <v>-1</v>
      </c>
      <c r="O2932" s="10">
        <f t="shared" si="132"/>
        <v>-1.085</v>
      </c>
      <c r="Q2932" s="172">
        <v>-0.03</v>
      </c>
      <c r="R2932" s="10">
        <f>$K$2955</f>
        <v>3.1913799999999997</v>
      </c>
      <c r="S2932" s="678">
        <f>M2932-Q2932</f>
        <v>-0.88500000000000001</v>
      </c>
      <c r="T2932" s="10">
        <f>H2932-R2932</f>
        <v>0.97961999999999971</v>
      </c>
      <c r="AA2932" s="325" t="s">
        <v>6651</v>
      </c>
    </row>
    <row r="2933" spans="2:30" x14ac:dyDescent="0.35">
      <c r="D2933" s="325"/>
      <c r="E2933" s="318"/>
      <c r="F2933" s="330"/>
      <c r="G2933" s="295"/>
      <c r="H2933" s="320"/>
      <c r="I2933" s="320"/>
      <c r="J2933" s="320"/>
      <c r="L2933" s="295"/>
      <c r="M2933" s="10"/>
      <c r="N2933" s="10"/>
      <c r="O2933" s="10"/>
      <c r="Q2933" s="172"/>
      <c r="R2933" s="10"/>
      <c r="S2933" s="678"/>
      <c r="T2933" s="10"/>
      <c r="AA2933" s="325"/>
    </row>
    <row r="2934" spans="2:30" x14ac:dyDescent="0.35">
      <c r="D2934" s="325" t="s">
        <v>6676</v>
      </c>
      <c r="E2934" s="318"/>
      <c r="F2934" s="330"/>
      <c r="G2934" s="295" t="str">
        <f>D$2923</f>
        <v>4.3V_Apwr (Analog)</v>
      </c>
      <c r="H2934" s="320">
        <f t="shared" si="131"/>
        <v>4.1709999999999994</v>
      </c>
      <c r="I2934" s="320">
        <f t="shared" si="131"/>
        <v>4.3</v>
      </c>
      <c r="J2934" s="320">
        <f t="shared" si="131"/>
        <v>4.4290000000000003</v>
      </c>
      <c r="L2934" s="313"/>
      <c r="R2934" s="318"/>
      <c r="T2934" s="321"/>
      <c r="AA2934" t="s">
        <v>6790</v>
      </c>
    </row>
    <row r="2935" spans="2:30" x14ac:dyDescent="0.35">
      <c r="D2935" s="325"/>
      <c r="E2935" s="318"/>
      <c r="F2935" s="330"/>
      <c r="G2935" s="295"/>
      <c r="H2935" s="320"/>
      <c r="I2935" s="320"/>
      <c r="J2935" s="320"/>
      <c r="L2935" s="313"/>
      <c r="R2935" s="318"/>
      <c r="T2935" s="321"/>
    </row>
    <row r="2936" spans="2:30" x14ac:dyDescent="0.35">
      <c r="D2936" s="325" t="s">
        <v>6652</v>
      </c>
      <c r="E2936" s="318"/>
      <c r="F2936" s="330"/>
      <c r="G2936" s="295" t="str">
        <f>D$2924</f>
        <v>3.6V_Apwr (Analog)</v>
      </c>
      <c r="H2936" s="320">
        <f>G$2924</f>
        <v>3.5100000000000002</v>
      </c>
      <c r="I2936" s="320">
        <f>H$2924</f>
        <v>3.6</v>
      </c>
      <c r="J2936" s="320">
        <f>I$2924</f>
        <v>3.69</v>
      </c>
      <c r="K2936" s="318"/>
      <c r="L2936" s="295" t="str">
        <f>D$2926</f>
        <v>-1V_Apwr (Analog)</v>
      </c>
      <c r="M2936" s="10">
        <f>G$2926</f>
        <v>-0.91500000000000004</v>
      </c>
      <c r="N2936" s="10">
        <f t="shared" ref="N2936:N2937" si="133">H$2926</f>
        <v>-1</v>
      </c>
      <c r="O2936" s="10">
        <f t="shared" ref="O2936:O2937" si="134">I$2926</f>
        <v>-1.085</v>
      </c>
      <c r="Q2936" s="172">
        <v>-0.03</v>
      </c>
      <c r="R2936" s="172">
        <v>0.23</v>
      </c>
      <c r="S2936" s="678">
        <f>M2936-Q2936</f>
        <v>-0.88500000000000001</v>
      </c>
      <c r="T2936" s="10">
        <f>H2936-R2936</f>
        <v>3.2800000000000002</v>
      </c>
      <c r="V2936" s="172">
        <v>-0.23</v>
      </c>
      <c r="W2936" s="172">
        <v>3.2189999999999999</v>
      </c>
      <c r="X2936" s="678">
        <f>M2936-V2936</f>
        <v>-0.68500000000000005</v>
      </c>
      <c r="Y2936" s="10">
        <f>H2936-W2936</f>
        <v>0.29100000000000037</v>
      </c>
      <c r="AA2936" s="325" t="s">
        <v>6708</v>
      </c>
    </row>
    <row r="2937" spans="2:30" ht="16.5" x14ac:dyDescent="0.45">
      <c r="D2937" s="325" t="s">
        <v>7291</v>
      </c>
      <c r="E2937" s="318"/>
      <c r="F2937" s="330"/>
      <c r="G2937" s="295" t="str">
        <f>D$2923</f>
        <v>4.3V_Apwr (Analog)</v>
      </c>
      <c r="H2937" s="320">
        <f t="shared" ref="H2937:J2938" si="135">G$2923</f>
        <v>4.1709999999999994</v>
      </c>
      <c r="I2937" s="320">
        <f t="shared" si="135"/>
        <v>4.3</v>
      </c>
      <c r="J2937" s="320">
        <f t="shared" si="135"/>
        <v>4.4290000000000003</v>
      </c>
      <c r="L2937" s="295" t="str">
        <f>D$2926</f>
        <v>-1V_Apwr (Analog)</v>
      </c>
      <c r="M2937" s="10">
        <f>G$2926</f>
        <v>-0.91500000000000004</v>
      </c>
      <c r="N2937" s="10">
        <f t="shared" si="133"/>
        <v>-1</v>
      </c>
      <c r="O2937" s="10">
        <f t="shared" si="134"/>
        <v>-1.085</v>
      </c>
      <c r="Q2937" s="172">
        <v>-0.03</v>
      </c>
      <c r="R2937" s="10">
        <f>$K$2955</f>
        <v>3.1913799999999997</v>
      </c>
      <c r="S2937" s="678">
        <f>M2937-Q2937</f>
        <v>-0.88500000000000001</v>
      </c>
      <c r="T2937" s="10">
        <f>H2937-R2937</f>
        <v>0.97961999999999971</v>
      </c>
      <c r="V2937" s="172">
        <v>-0.03</v>
      </c>
      <c r="W2937" s="678">
        <f>I2927</f>
        <v>3.3096199999999998</v>
      </c>
      <c r="X2937" s="678">
        <f>M2937-V2937</f>
        <v>-0.88500000000000001</v>
      </c>
      <c r="Y2937" s="10">
        <f>H2937-W2937</f>
        <v>0.86137999999999959</v>
      </c>
      <c r="AA2937" s="325"/>
    </row>
    <row r="2938" spans="2:30" x14ac:dyDescent="0.35">
      <c r="D2938" s="325" t="s">
        <v>7288</v>
      </c>
      <c r="E2938" s="318"/>
      <c r="F2938" s="330"/>
      <c r="G2938" s="295" t="str">
        <f>D$2923</f>
        <v>4.3V_Apwr (Analog)</v>
      </c>
      <c r="H2938" s="320">
        <f t="shared" si="135"/>
        <v>4.1709999999999994</v>
      </c>
      <c r="I2938" s="320">
        <f t="shared" si="135"/>
        <v>4.3</v>
      </c>
      <c r="J2938" s="320">
        <f t="shared" si="135"/>
        <v>4.4290000000000003</v>
      </c>
      <c r="L2938" s="295" t="str">
        <f>D$2926</f>
        <v>-1V_Apwr (Analog)</v>
      </c>
      <c r="M2938" s="10">
        <f>G$2926</f>
        <v>-0.91500000000000004</v>
      </c>
      <c r="N2938" s="10">
        <f t="shared" ref="N2938" si="136">H$2926</f>
        <v>-1</v>
      </c>
      <c r="O2938" s="10">
        <f t="shared" ref="O2938" si="137">I$2926</f>
        <v>-1.085</v>
      </c>
      <c r="Q2938" s="172">
        <v>-0.03</v>
      </c>
      <c r="R2938" s="10">
        <f>$K$2955</f>
        <v>3.1913799999999997</v>
      </c>
      <c r="S2938" s="678">
        <f>M2938-Q2938</f>
        <v>-0.88500000000000001</v>
      </c>
      <c r="T2938" s="10">
        <f>H2938-R2938</f>
        <v>0.97961999999999971</v>
      </c>
      <c r="V2938" s="460">
        <f>V2937</f>
        <v>-0.03</v>
      </c>
      <c r="W2938" s="460">
        <f t="shared" ref="W2938:Y2938" si="138">W2937</f>
        <v>3.3096199999999998</v>
      </c>
      <c r="X2938" s="460">
        <f t="shared" si="138"/>
        <v>-0.88500000000000001</v>
      </c>
      <c r="Y2938" s="460">
        <f t="shared" si="138"/>
        <v>0.86137999999999959</v>
      </c>
      <c r="AA2938" s="325"/>
    </row>
    <row r="2939" spans="2:30" x14ac:dyDescent="0.35">
      <c r="D2939" s="325"/>
      <c r="E2939" s="318"/>
      <c r="F2939" s="330"/>
      <c r="G2939" s="295"/>
      <c r="H2939" s="320"/>
      <c r="I2939" s="320"/>
      <c r="J2939" s="320"/>
      <c r="K2939" s="318"/>
      <c r="L2939" s="295"/>
      <c r="M2939" s="10"/>
      <c r="N2939" s="10"/>
      <c r="O2939" s="10"/>
      <c r="Q2939" s="172"/>
      <c r="R2939" s="172"/>
      <c r="S2939" s="678"/>
      <c r="T2939" s="10"/>
      <c r="V2939" s="172"/>
      <c r="W2939" s="172"/>
      <c r="X2939" s="678"/>
      <c r="Y2939" s="10"/>
      <c r="AA2939" s="325"/>
    </row>
    <row r="2940" spans="2:30" ht="16.5" x14ac:dyDescent="0.45">
      <c r="D2940" s="12" t="s">
        <v>6684</v>
      </c>
      <c r="E2940" s="318"/>
      <c r="F2940" s="330"/>
      <c r="G2940" s="295" t="str">
        <f>D$2924</f>
        <v>3.6V_Apwr (Analog)</v>
      </c>
      <c r="H2940" s="320">
        <f>G$2924</f>
        <v>3.5100000000000002</v>
      </c>
      <c r="I2940" s="320">
        <f>H$2924</f>
        <v>3.6</v>
      </c>
      <c r="J2940" s="320">
        <f>I$2924</f>
        <v>3.69</v>
      </c>
      <c r="K2940" s="318"/>
      <c r="L2940" s="681" t="str">
        <f>D$2929</f>
        <v>AGND</v>
      </c>
      <c r="M2940" s="10">
        <f>G$2929</f>
        <v>0</v>
      </c>
      <c r="N2940" s="10">
        <f>H$2929</f>
        <v>0</v>
      </c>
      <c r="O2940" s="10">
        <f>I$2929</f>
        <v>0</v>
      </c>
      <c r="Q2940" s="320">
        <v>0</v>
      </c>
      <c r="R2940" s="10">
        <f>$K$2955</f>
        <v>3.1913799999999997</v>
      </c>
      <c r="S2940" s="678">
        <f>M2940-Q2940</f>
        <v>0</v>
      </c>
      <c r="T2940" s="10">
        <f>H2940-R2940</f>
        <v>0.31862000000000057</v>
      </c>
      <c r="AA2940" s="12" t="str">
        <f>Q2791</f>
        <v>abs max is VDDP+1V (digital pwr)</v>
      </c>
    </row>
    <row r="2941" spans="2:30" ht="16.5" x14ac:dyDescent="0.45">
      <c r="D2941" s="12" t="s">
        <v>6697</v>
      </c>
      <c r="E2941" s="318"/>
      <c r="F2941" s="330"/>
      <c r="G2941" s="295" t="str">
        <f>D$2927</f>
        <v>3.3Vref</v>
      </c>
      <c r="H2941" s="320">
        <f>G$2927</f>
        <v>3.2903799999999999</v>
      </c>
      <c r="I2941" s="320">
        <f t="shared" ref="I2941:J2941" si="139">H$2927</f>
        <v>3.3</v>
      </c>
      <c r="J2941" s="320">
        <f t="shared" si="139"/>
        <v>3.3096199999999998</v>
      </c>
      <c r="K2941" s="318"/>
      <c r="L2941" s="672" t="s">
        <v>7317</v>
      </c>
      <c r="M2941" s="10"/>
      <c r="N2941" s="10"/>
      <c r="O2941" s="10"/>
      <c r="Q2941" s="320"/>
      <c r="R2941" s="10"/>
      <c r="S2941" s="678"/>
      <c r="T2941" s="10"/>
    </row>
    <row r="2942" spans="2:30" ht="16.5" x14ac:dyDescent="0.45">
      <c r="D2942" s="12" t="s">
        <v>6713</v>
      </c>
      <c r="E2942" s="318"/>
      <c r="F2942" s="330"/>
      <c r="G2942" s="295" t="str">
        <f>D$2925</f>
        <v>3.3V_Dpwr (Digital)</v>
      </c>
      <c r="H2942" s="320">
        <f>G$2925</f>
        <v>3.2009999999999996</v>
      </c>
      <c r="I2942" s="320">
        <f>H$2925</f>
        <v>3.3</v>
      </c>
      <c r="J2942" s="320">
        <f>I$2925</f>
        <v>3.399</v>
      </c>
      <c r="K2942" s="318"/>
      <c r="L2942" s="672" t="s">
        <v>6714</v>
      </c>
      <c r="M2942" s="10"/>
      <c r="N2942" s="10"/>
      <c r="O2942" s="10"/>
      <c r="Q2942" s="320"/>
      <c r="R2942" s="10"/>
      <c r="S2942" s="678"/>
      <c r="T2942" s="10"/>
    </row>
    <row r="2943" spans="2:30" x14ac:dyDescent="0.35">
      <c r="D2943" s="12"/>
      <c r="E2943" s="318"/>
      <c r="F2943" s="330"/>
      <c r="G2943" s="295"/>
      <c r="H2943" s="320"/>
      <c r="I2943" s="320"/>
      <c r="J2943" s="320"/>
      <c r="K2943" s="318"/>
      <c r="L2943" s="672"/>
      <c r="M2943" s="10"/>
      <c r="N2943" s="10"/>
      <c r="O2943" s="10"/>
      <c r="Q2943" s="320"/>
      <c r="R2943" s="10"/>
      <c r="S2943" s="678"/>
      <c r="T2943" s="10"/>
    </row>
    <row r="2944" spans="2:30" ht="16.5" x14ac:dyDescent="0.45">
      <c r="D2944" t="s">
        <v>6709</v>
      </c>
      <c r="E2944" s="318"/>
      <c r="F2944" s="330"/>
      <c r="G2944" s="295" t="str">
        <f>D$2924</f>
        <v>3.6V_Apwr (Analog)</v>
      </c>
      <c r="H2944" s="320">
        <f>G$2924</f>
        <v>3.5100000000000002</v>
      </c>
      <c r="I2944" s="320">
        <f>H$2924</f>
        <v>3.6</v>
      </c>
      <c r="J2944" s="320">
        <f>I$2924</f>
        <v>3.69</v>
      </c>
      <c r="K2944" s="318"/>
      <c r="L2944" t="s">
        <v>6715</v>
      </c>
      <c r="M2944" s="12" t="str">
        <f>E2844</f>
        <v>Recommended power supply is 2.7V to 3.6V.  Absolute Max is 4.0V.  Current consumption is 1mA (AIDD)</v>
      </c>
      <c r="N2944" s="10"/>
      <c r="O2944" s="10"/>
      <c r="Q2944" s="320"/>
      <c r="R2944" s="10"/>
      <c r="S2944" s="678"/>
      <c r="T2944" s="10"/>
    </row>
    <row r="2945" spans="2:28" ht="16.5" x14ac:dyDescent="0.45">
      <c r="D2945" t="s">
        <v>6710</v>
      </c>
      <c r="E2945" s="318"/>
      <c r="F2945" s="330"/>
      <c r="G2945" s="295" t="str">
        <f>D$2925</f>
        <v>3.3V_Dpwr (Digital)</v>
      </c>
      <c r="H2945" s="320">
        <f>G$2925</f>
        <v>3.2009999999999996</v>
      </c>
      <c r="I2945" s="320">
        <f>H$2925</f>
        <v>3.3</v>
      </c>
      <c r="J2945" s="320">
        <f>I$2925</f>
        <v>3.399</v>
      </c>
      <c r="L2945" t="s">
        <v>6716</v>
      </c>
      <c r="M2945" s="12" t="str">
        <f>E2845</f>
        <v>Recommended power supply is 1.8V to (AVDD + 0.1V).  Current consumption is 0.3mA (DIDD)</v>
      </c>
      <c r="N2945" s="10"/>
      <c r="O2945" s="10"/>
      <c r="Q2945" s="320"/>
      <c r="R2945" s="10"/>
      <c r="S2945" s="678"/>
      <c r="T2945" s="10"/>
    </row>
    <row r="2946" spans="2:28" x14ac:dyDescent="0.35">
      <c r="D2946" t="s">
        <v>9021</v>
      </c>
      <c r="E2946" s="318"/>
      <c r="F2946" s="330"/>
      <c r="G2946" s="295" t="str">
        <f>D$2927</f>
        <v>3.3Vref</v>
      </c>
      <c r="H2946" s="320">
        <f>G$2927</f>
        <v>3.2903799999999999</v>
      </c>
      <c r="I2946" s="320">
        <f t="shared" ref="I2946:J2946" si="140">H$2927</f>
        <v>3.3</v>
      </c>
      <c r="J2946" s="320">
        <f t="shared" si="140"/>
        <v>3.3096199999999998</v>
      </c>
      <c r="L2946" t="str">
        <f>D2846</f>
        <v>RefIn+-</v>
      </c>
      <c r="M2946" s="12" t="str">
        <f>E2847</f>
        <v>Input Impedance (mA and Ω), and switched capacitors values (pF), are not specified</v>
      </c>
      <c r="N2946" s="10"/>
      <c r="O2946" s="10"/>
      <c r="Q2946" s="320"/>
      <c r="R2946" s="10"/>
      <c r="S2946" s="678"/>
      <c r="T2946" s="10"/>
    </row>
    <row r="2947" spans="2:28" x14ac:dyDescent="0.35">
      <c r="D2947" s="12"/>
      <c r="E2947" s="318"/>
      <c r="F2947" s="330"/>
      <c r="G2947" s="295"/>
      <c r="H2947" s="320"/>
      <c r="I2947" s="320"/>
      <c r="J2947" s="320"/>
      <c r="N2947" s="10"/>
      <c r="O2947" s="10"/>
      <c r="Q2947" s="320"/>
      <c r="R2947" s="10"/>
      <c r="S2947" s="678"/>
      <c r="T2947" s="10"/>
    </row>
    <row r="2948" spans="2:28" x14ac:dyDescent="0.35">
      <c r="D2948" s="12" t="s">
        <v>5028</v>
      </c>
      <c r="E2948" s="318"/>
      <c r="F2948" s="330"/>
      <c r="G2948" s="295" t="str">
        <f>D$2925</f>
        <v>3.3V_Dpwr (Digital)</v>
      </c>
      <c r="H2948" s="320">
        <f>G$2925</f>
        <v>3.2009999999999996</v>
      </c>
      <c r="I2948" s="320">
        <f>H$2925</f>
        <v>3.3</v>
      </c>
      <c r="J2948" s="320">
        <f>I$2925</f>
        <v>3.399</v>
      </c>
      <c r="K2948" s="318"/>
      <c r="L2948" s="320"/>
      <c r="M2948" s="329"/>
      <c r="Q2948" s="318"/>
      <c r="R2948" s="324"/>
      <c r="S2948" s="321"/>
    </row>
    <row r="2949" spans="2:28" x14ac:dyDescent="0.35">
      <c r="D2949" s="12"/>
      <c r="E2949" s="12"/>
      <c r="F2949" s="1"/>
      <c r="G2949" s="155"/>
      <c r="I2949" s="496"/>
      <c r="J2949" s="335"/>
      <c r="K2949" s="335"/>
      <c r="L2949" s="745"/>
      <c r="M2949" s="760"/>
      <c r="N2949" s="12"/>
      <c r="O2949" s="12"/>
      <c r="P2949" s="12"/>
      <c r="Q2949" s="12"/>
      <c r="R2949" s="12"/>
      <c r="S2949" s="12"/>
      <c r="T2949" s="12"/>
      <c r="U2949" s="12"/>
      <c r="V2949" s="12"/>
      <c r="W2949" s="12"/>
      <c r="X2949" s="12"/>
      <c r="Y2949" s="12"/>
      <c r="Z2949" s="12"/>
      <c r="AA2949" s="12"/>
      <c r="AB2949" s="12"/>
    </row>
    <row r="2950" spans="2:28" ht="16.5" x14ac:dyDescent="0.45">
      <c r="B2950" s="83" t="s">
        <v>6701</v>
      </c>
      <c r="D2950" s="672"/>
      <c r="G2950" s="10"/>
      <c r="H2950" s="10"/>
      <c r="I2950" s="10"/>
      <c r="J2950" s="679"/>
      <c r="K2950" s="318"/>
      <c r="L2950" s="320"/>
      <c r="M2950" s="634"/>
    </row>
    <row r="2951" spans="2:28" ht="24.5" x14ac:dyDescent="0.35">
      <c r="D2951" s="672"/>
      <c r="G2951" s="654" t="s">
        <v>6698</v>
      </c>
      <c r="H2951" s="10"/>
      <c r="I2951" s="654" t="s">
        <v>6686</v>
      </c>
      <c r="J2951" s="654" t="s">
        <v>6687</v>
      </c>
      <c r="K2951" s="654" t="s">
        <v>6688</v>
      </c>
      <c r="L2951" s="320"/>
      <c r="N2951" s="654" t="s">
        <v>7295</v>
      </c>
      <c r="O2951" s="654" t="s">
        <v>7296</v>
      </c>
      <c r="R2951" s="654" t="s">
        <v>7490</v>
      </c>
      <c r="S2951" s="654" t="s">
        <v>7491</v>
      </c>
    </row>
    <row r="2952" spans="2:28" x14ac:dyDescent="0.35">
      <c r="D2952" s="325" t="s">
        <v>7489</v>
      </c>
      <c r="E2952" s="318"/>
      <c r="F2952" s="330"/>
      <c r="G2952" s="320">
        <v>0</v>
      </c>
      <c r="H2952" s="320"/>
      <c r="I2952" s="320">
        <f>G2927-R2952</f>
        <v>3.285546015625</v>
      </c>
      <c r="J2952" s="320">
        <f>H2927</f>
        <v>3.3</v>
      </c>
      <c r="K2952" s="320">
        <f>I2927</f>
        <v>3.3096199999999998</v>
      </c>
      <c r="L2952" s="320"/>
      <c r="N2952" s="162">
        <f>0.001*3.3/(0.0000005)</f>
        <v>6600</v>
      </c>
      <c r="O2952" s="335">
        <f>1000000*3.3/(N2952*1000)</f>
        <v>0.5</v>
      </c>
      <c r="Q2952" s="318"/>
      <c r="R2952" s="804">
        <f>I2941*6/4096</f>
        <v>4.8339843749999993E-3</v>
      </c>
      <c r="S2952" s="678">
        <f>I2941*6/4096</f>
        <v>4.8339843749999993E-3</v>
      </c>
      <c r="T2952" s="321"/>
    </row>
    <row r="2953" spans="2:28" x14ac:dyDescent="0.35">
      <c r="D2953" t="s">
        <v>7294</v>
      </c>
      <c r="E2953" s="318"/>
      <c r="F2953" s="330"/>
      <c r="G2953" s="320"/>
      <c r="H2953" s="320"/>
      <c r="I2953" s="805">
        <f>-H2946+R2953</f>
        <v>-3.1913799999999997</v>
      </c>
      <c r="J2953" s="805"/>
      <c r="K2953" s="805">
        <f>H2946-R2953</f>
        <v>3.1913799999999997</v>
      </c>
      <c r="L2953" s="320"/>
      <c r="N2953" s="162">
        <v>20</v>
      </c>
      <c r="O2953" s="335">
        <f>1000000*3.3/(N2953*1000)</f>
        <v>165</v>
      </c>
      <c r="Q2953" s="318"/>
      <c r="R2953" s="804">
        <f>I2946*3%</f>
        <v>9.8999999999999991E-2</v>
      </c>
      <c r="S2953" s="678">
        <f>0.000001*900/1</f>
        <v>8.9999999999999998E-4</v>
      </c>
      <c r="T2953" s="321"/>
    </row>
    <row r="2954" spans="2:28" x14ac:dyDescent="0.35">
      <c r="E2954" s="318"/>
      <c r="F2954" s="330"/>
      <c r="G2954" s="320"/>
      <c r="H2954" s="320"/>
      <c r="I2954" s="805"/>
      <c r="J2954" s="805"/>
      <c r="K2954" s="805"/>
      <c r="L2954" s="320"/>
      <c r="N2954" s="162"/>
      <c r="O2954" s="335"/>
      <c r="Q2954" s="318"/>
      <c r="R2954" s="804"/>
      <c r="S2954" s="678"/>
      <c r="T2954" s="321"/>
    </row>
    <row r="2955" spans="2:28" x14ac:dyDescent="0.35">
      <c r="D2955" s="547" t="s">
        <v>7492</v>
      </c>
      <c r="E2955" s="859"/>
      <c r="F2955" s="860"/>
      <c r="G2955" s="861"/>
      <c r="H2955" s="861"/>
      <c r="I2955" s="862">
        <f>MAX(S2952:S2953)</f>
        <v>4.8339843749999993E-3</v>
      </c>
      <c r="J2955" s="862"/>
      <c r="K2955" s="862">
        <f>MIN(K2952:K2953)</f>
        <v>3.1913799999999997</v>
      </c>
      <c r="L2955" s="320"/>
      <c r="N2955" s="162"/>
      <c r="O2955" s="335"/>
      <c r="Q2955" s="318"/>
      <c r="R2955" s="804"/>
      <c r="S2955" s="321"/>
      <c r="T2955" s="321"/>
    </row>
    <row r="2956" spans="2:28" x14ac:dyDescent="0.35">
      <c r="E2956" s="318"/>
      <c r="F2956" s="330"/>
      <c r="G2956" s="320"/>
      <c r="H2956" s="320"/>
      <c r="I2956" s="318"/>
      <c r="J2956" s="436"/>
      <c r="K2956" s="318"/>
      <c r="L2956" s="320"/>
      <c r="M2956" s="329"/>
      <c r="Q2956" s="318"/>
      <c r="R2956" s="324"/>
      <c r="S2956" s="321"/>
      <c r="T2956" s="321"/>
    </row>
    <row r="2957" spans="2:28" x14ac:dyDescent="0.35">
      <c r="B2957" s="83" t="s">
        <v>6702</v>
      </c>
      <c r="E2957" s="318"/>
      <c r="F2957" s="330"/>
      <c r="G2957" s="320"/>
      <c r="H2957" s="320"/>
      <c r="I2957" s="318"/>
      <c r="J2957" s="436"/>
      <c r="K2957" s="318"/>
      <c r="L2957" s="320"/>
      <c r="M2957" s="329"/>
      <c r="Q2957" s="318"/>
      <c r="R2957" s="324"/>
      <c r="S2957" s="321"/>
      <c r="T2957" s="321"/>
    </row>
    <row r="2958" spans="2:28" x14ac:dyDescent="0.35">
      <c r="D2958" t="s">
        <v>6699</v>
      </c>
      <c r="E2958" s="318"/>
      <c r="F2958" s="330"/>
      <c r="G2958" s="672" t="str">
        <f>E2803</f>
        <v>AIN absolute max range is -1V to (VDDP + 1V), VDDP = 3.3V in our case, internal protection diode inside IC goes to Digital pwr not VDDA analog power, 10mA max clamp</v>
      </c>
      <c r="H2958" s="320"/>
      <c r="I2958" s="318"/>
      <c r="J2958" s="436"/>
      <c r="K2958" s="318"/>
      <c r="L2958" s="320"/>
      <c r="M2958" s="329"/>
      <c r="Q2958" s="318"/>
      <c r="R2958" s="324"/>
      <c r="S2958" s="321"/>
      <c r="T2958" s="321"/>
    </row>
    <row r="2959" spans="2:28" x14ac:dyDescent="0.35">
      <c r="D2959" s="12" t="s">
        <v>6700</v>
      </c>
      <c r="E2959" s="12"/>
      <c r="F2959" s="1"/>
      <c r="G2959" s="413" t="str">
        <f>E2839</f>
        <v>Voltage input range is  -0.1V and (AVDD+0.1).   AVDD = 3.6V in our case; therefore, Absolute Max input voltage is -0.3V and (AVDD+0.3).  Absolute max current is 5mA</v>
      </c>
      <c r="I2959" s="496"/>
      <c r="J2959" s="335"/>
      <c r="K2959" s="335"/>
      <c r="M2959" s="12"/>
      <c r="N2959" s="12"/>
      <c r="O2959" s="12"/>
      <c r="P2959" s="12"/>
      <c r="Q2959" s="12"/>
      <c r="R2959" s="12"/>
      <c r="S2959" s="12"/>
      <c r="T2959" s="12"/>
      <c r="U2959" s="12"/>
      <c r="V2959" s="12"/>
      <c r="W2959" s="12"/>
      <c r="X2959" s="12"/>
      <c r="Y2959" s="12"/>
      <c r="Z2959" s="12"/>
      <c r="AA2959" s="12"/>
      <c r="AB2959" s="12"/>
    </row>
    <row r="2960" spans="2:28" x14ac:dyDescent="0.35">
      <c r="D2960" s="12"/>
      <c r="E2960" s="12"/>
      <c r="F2960" s="1"/>
      <c r="G2960" s="413"/>
      <c r="I2960" s="496"/>
      <c r="J2960" s="335"/>
      <c r="K2960" s="335"/>
      <c r="M2960" s="12"/>
      <c r="N2960" s="12"/>
      <c r="O2960" s="12"/>
      <c r="P2960" s="12"/>
      <c r="Q2960" s="12"/>
      <c r="R2960" s="12"/>
      <c r="S2960" s="12"/>
      <c r="T2960" s="12"/>
      <c r="U2960" s="12"/>
      <c r="V2960" s="12"/>
      <c r="W2960" s="12"/>
      <c r="X2960" s="12"/>
      <c r="Y2960" s="12"/>
      <c r="Z2960" s="12"/>
      <c r="AA2960" s="12"/>
      <c r="AB2960" s="12"/>
    </row>
    <row r="2961" spans="1:28" x14ac:dyDescent="0.35">
      <c r="D2961" s="12" t="s">
        <v>4572</v>
      </c>
      <c r="E2961" s="12"/>
      <c r="F2961" s="1"/>
      <c r="G2961" s="413" t="s">
        <v>6703</v>
      </c>
      <c r="I2961" s="496"/>
      <c r="J2961" s="335"/>
      <c r="K2961" s="335"/>
      <c r="M2961" s="12"/>
      <c r="N2961" s="12"/>
      <c r="O2961" s="12"/>
      <c r="P2961" s="12"/>
      <c r="Q2961" s="12"/>
      <c r="R2961" s="12"/>
      <c r="S2961" s="12"/>
      <c r="T2961" s="12"/>
      <c r="U2961" s="12"/>
      <c r="V2961" s="12"/>
      <c r="W2961" s="12"/>
      <c r="X2961" s="12"/>
      <c r="Y2961" s="12"/>
      <c r="Z2961" s="12"/>
      <c r="AA2961" s="12"/>
      <c r="AB2961" s="12"/>
    </row>
    <row r="2962" spans="1:28" x14ac:dyDescent="0.35">
      <c r="D2962" s="12"/>
      <c r="E2962" s="12"/>
      <c r="F2962" s="1"/>
      <c r="G2962" s="413" t="s">
        <v>7293</v>
      </c>
      <c r="I2962" s="496"/>
      <c r="J2962" s="335"/>
      <c r="K2962" s="335"/>
      <c r="M2962" s="12"/>
      <c r="N2962" s="12"/>
      <c r="O2962" s="12"/>
      <c r="P2962" s="12"/>
      <c r="Q2962" s="12"/>
      <c r="R2962" s="12"/>
      <c r="S2962" s="12"/>
      <c r="T2962" s="12"/>
      <c r="U2962" s="12"/>
      <c r="V2962" s="12"/>
      <c r="W2962" s="12"/>
      <c r="X2962" s="12"/>
      <c r="Y2962" s="12"/>
      <c r="Z2962" s="12"/>
      <c r="AA2962" s="12"/>
      <c r="AB2962" s="12"/>
    </row>
    <row r="2963" spans="1:28" x14ac:dyDescent="0.35">
      <c r="D2963" s="12"/>
      <c r="E2963" s="12"/>
      <c r="F2963" s="1"/>
      <c r="G2963" s="413"/>
      <c r="I2963" s="496"/>
      <c r="J2963" s="335"/>
      <c r="K2963" s="335"/>
      <c r="M2963" s="12"/>
      <c r="N2963" s="12"/>
      <c r="O2963" s="12"/>
      <c r="P2963" s="12"/>
      <c r="Q2963" s="12"/>
      <c r="R2963" s="12"/>
      <c r="S2963" s="12"/>
      <c r="T2963" s="12"/>
      <c r="U2963" s="12"/>
      <c r="V2963" s="12"/>
      <c r="W2963" s="12"/>
      <c r="X2963" s="12"/>
      <c r="Y2963" s="12"/>
      <c r="Z2963" s="12"/>
      <c r="AA2963" s="12"/>
      <c r="AB2963" s="12"/>
    </row>
    <row r="2964" spans="1:28" ht="26" customHeight="1" x14ac:dyDescent="0.35">
      <c r="D2964" s="325"/>
      <c r="E2964" s="318"/>
      <c r="F2964" s="330"/>
      <c r="G2964" s="654" t="s">
        <v>7300</v>
      </c>
      <c r="H2964" s="654" t="s">
        <v>7302</v>
      </c>
      <c r="I2964" s="654" t="s">
        <v>7301</v>
      </c>
      <c r="K2964" s="654" t="s">
        <v>7307</v>
      </c>
      <c r="M2964" s="654" t="s">
        <v>7303</v>
      </c>
      <c r="N2964" s="654" t="s">
        <v>7304</v>
      </c>
      <c r="O2964" s="654" t="s">
        <v>7305</v>
      </c>
      <c r="Q2964" s="12" t="s">
        <v>7306</v>
      </c>
      <c r="R2964" s="12"/>
      <c r="S2964" s="12"/>
      <c r="T2964" s="12"/>
      <c r="U2964" s="12"/>
      <c r="V2964" s="12"/>
      <c r="W2964" s="12"/>
      <c r="X2964" s="12"/>
      <c r="Y2964" s="12"/>
      <c r="Z2964" s="12"/>
      <c r="AA2964" s="12"/>
      <c r="AB2964" s="12"/>
    </row>
    <row r="2965" spans="1:28" x14ac:dyDescent="0.35">
      <c r="D2965" s="12" t="s">
        <v>7299</v>
      </c>
      <c r="E2965" s="12"/>
      <c r="F2965" s="1"/>
      <c r="G2965" s="236">
        <f>G2928</f>
        <v>3.4</v>
      </c>
      <c r="H2965" s="236">
        <f>H2928</f>
        <v>3.45</v>
      </c>
      <c r="I2965" s="10">
        <f>I2928</f>
        <v>3.55</v>
      </c>
      <c r="K2965" s="172">
        <v>0.25</v>
      </c>
      <c r="M2965" s="391">
        <f>$K2965+G2965</f>
        <v>3.65</v>
      </c>
      <c r="N2965" s="391">
        <f>$K2965+H2965</f>
        <v>3.7</v>
      </c>
      <c r="O2965" s="391">
        <f>$K2965+I2965</f>
        <v>3.8</v>
      </c>
      <c r="Q2965" s="12" t="str">
        <f>O2928</f>
        <v>Sim file "3.45V_Clamp_Via_Shunt, v1b.TSC" calculates min/max for 3.45V_Clamp. And it shows clamped voltage as 0.25V more than this (schottky forward voltage drop)</v>
      </c>
      <c r="R2965" s="12"/>
      <c r="S2965" s="12"/>
      <c r="T2965" s="12"/>
      <c r="U2965" s="12"/>
      <c r="V2965" s="12"/>
      <c r="W2965" s="12"/>
      <c r="X2965" s="12"/>
      <c r="Y2965" s="12"/>
      <c r="Z2965" s="12"/>
      <c r="AA2965" s="12"/>
      <c r="AB2965" s="12"/>
    </row>
    <row r="2966" spans="1:28" x14ac:dyDescent="0.35">
      <c r="D2966" s="12"/>
      <c r="E2966" s="12"/>
      <c r="F2966" s="1"/>
      <c r="G2966" s="236"/>
      <c r="H2966" s="236"/>
      <c r="I2966" s="10"/>
      <c r="K2966" s="172"/>
      <c r="M2966" s="391"/>
      <c r="N2966" s="391"/>
      <c r="O2966" s="391"/>
      <c r="Q2966" s="12"/>
      <c r="R2966" s="12"/>
      <c r="S2966" s="12"/>
      <c r="T2966" s="12"/>
      <c r="U2966" s="12"/>
      <c r="V2966" s="12"/>
      <c r="W2966" s="12"/>
      <c r="X2966" s="12"/>
      <c r="Y2966" s="12"/>
      <c r="Z2966" s="12"/>
      <c r="AA2966" s="12"/>
      <c r="AB2966" s="12"/>
    </row>
    <row r="2967" spans="1:28" x14ac:dyDescent="0.35">
      <c r="B2967" s="83" t="s">
        <v>6706</v>
      </c>
      <c r="D2967" s="12"/>
      <c r="E2967" s="12"/>
      <c r="F2967" s="1"/>
      <c r="G2967" s="413"/>
      <c r="I2967" s="496"/>
      <c r="J2967" s="335"/>
      <c r="K2967" s="335"/>
      <c r="M2967" s="12"/>
      <c r="N2967" s="12"/>
      <c r="O2967" s="12"/>
      <c r="P2967" s="12"/>
      <c r="Q2967" s="12"/>
      <c r="R2967" s="12"/>
      <c r="S2967" s="12"/>
      <c r="T2967" s="12"/>
      <c r="U2967" s="12"/>
      <c r="V2967" s="12"/>
      <c r="W2967" s="12"/>
      <c r="X2967" s="12"/>
      <c r="Y2967" s="12"/>
      <c r="Z2967" s="12"/>
      <c r="AA2967" s="12"/>
      <c r="AB2967" s="12"/>
    </row>
    <row r="2968" spans="1:28" x14ac:dyDescent="0.35">
      <c r="D2968" s="413" t="s">
        <v>6704</v>
      </c>
      <c r="E2968" s="12"/>
      <c r="F2968" s="1"/>
      <c r="I2968" s="496"/>
      <c r="J2968" s="335"/>
      <c r="K2968" s="335"/>
      <c r="M2968" s="12"/>
      <c r="N2968" s="12"/>
      <c r="O2968" s="12"/>
      <c r="P2968" s="12"/>
      <c r="Q2968" s="12"/>
      <c r="R2968" s="12"/>
      <c r="S2968" s="12"/>
      <c r="T2968" s="12"/>
      <c r="U2968" s="12"/>
      <c r="V2968" s="12"/>
      <c r="W2968" s="12"/>
      <c r="X2968" s="12"/>
      <c r="Y2968" s="12"/>
      <c r="Z2968" s="12"/>
      <c r="AA2968" s="12"/>
      <c r="AB2968" s="12"/>
    </row>
    <row r="2969" spans="1:28" x14ac:dyDescent="0.35">
      <c r="D2969" s="413" t="s">
        <v>6705</v>
      </c>
      <c r="E2969" s="12"/>
      <c r="F2969" s="1"/>
      <c r="I2969" s="496"/>
      <c r="J2969" s="335"/>
      <c r="K2969" s="335"/>
      <c r="M2969" s="12"/>
      <c r="N2969" s="12"/>
      <c r="O2969" s="12"/>
      <c r="P2969" s="12"/>
      <c r="Q2969" s="12"/>
      <c r="R2969" s="12"/>
      <c r="S2969" s="12"/>
      <c r="T2969" s="12"/>
      <c r="U2969" s="12"/>
      <c r="V2969" s="12"/>
      <c r="W2969" s="12"/>
      <c r="X2969" s="12"/>
      <c r="Y2969" s="12"/>
      <c r="Z2969" s="12"/>
      <c r="AA2969" s="12"/>
      <c r="AB2969" s="12"/>
    </row>
    <row r="2970" spans="1:28" x14ac:dyDescent="0.35">
      <c r="D2970" s="12"/>
      <c r="E2970" s="12"/>
      <c r="F2970" s="1"/>
      <c r="G2970" s="413"/>
      <c r="I2970" s="496"/>
      <c r="J2970" s="335"/>
      <c r="K2970" s="335"/>
      <c r="M2970" s="12"/>
      <c r="N2970" s="12"/>
      <c r="O2970" s="12"/>
      <c r="P2970" s="12"/>
      <c r="Q2970" s="12"/>
      <c r="R2970" s="12"/>
      <c r="S2970" s="12"/>
      <c r="T2970" s="12"/>
      <c r="U2970" s="12"/>
      <c r="V2970" s="12"/>
      <c r="W2970" s="12"/>
      <c r="X2970" s="12"/>
      <c r="Y2970" s="12"/>
      <c r="Z2970" s="12"/>
      <c r="AA2970" s="12"/>
      <c r="AB2970" s="12"/>
    </row>
    <row r="2971" spans="1:28" s="5" customFormat="1" x14ac:dyDescent="0.35">
      <c r="A2971" s="86" t="s">
        <v>6707</v>
      </c>
    </row>
    <row r="2972" spans="1:28" x14ac:dyDescent="0.35">
      <c r="D2972" s="12"/>
      <c r="E2972" s="12"/>
      <c r="F2972" s="1"/>
      <c r="G2972" s="413"/>
      <c r="I2972" s="496"/>
      <c r="J2972" s="335"/>
      <c r="K2972" s="335"/>
      <c r="M2972" s="12"/>
      <c r="N2972" s="12"/>
      <c r="O2972" s="12"/>
      <c r="P2972" s="12"/>
      <c r="Q2972" s="12"/>
      <c r="R2972" s="12"/>
      <c r="S2972" s="12"/>
      <c r="T2972" s="12"/>
      <c r="U2972" s="12"/>
      <c r="V2972" s="12"/>
      <c r="W2972" s="12"/>
      <c r="X2972" s="12"/>
      <c r="Y2972" s="12"/>
      <c r="Z2972" s="12"/>
      <c r="AA2972" s="12"/>
      <c r="AB2972" s="12"/>
    </row>
    <row r="2973" spans="1:28" x14ac:dyDescent="0.35">
      <c r="B2973" s="83" t="s">
        <v>6344</v>
      </c>
      <c r="D2973" s="12" t="s">
        <v>6475</v>
      </c>
      <c r="E2973" s="12"/>
      <c r="F2973" s="1"/>
      <c r="G2973" s="155" t="s">
        <v>6473</v>
      </c>
      <c r="I2973" s="496"/>
      <c r="J2973" s="335"/>
      <c r="K2973" s="335"/>
      <c r="M2973" s="12"/>
      <c r="N2973" s="12"/>
      <c r="O2973" s="12"/>
      <c r="P2973" s="12"/>
      <c r="Q2973" s="12"/>
      <c r="R2973" s="12"/>
      <c r="S2973" s="12"/>
      <c r="T2973" s="12"/>
      <c r="U2973" s="12"/>
      <c r="V2973" s="12"/>
      <c r="W2973" s="12"/>
      <c r="X2973" s="12"/>
      <c r="Y2973" s="12"/>
      <c r="Z2973" s="12"/>
      <c r="AA2973" s="12"/>
      <c r="AB2973" s="12"/>
    </row>
    <row r="2974" spans="1:28" x14ac:dyDescent="0.35">
      <c r="D2974" s="12" t="s">
        <v>6474</v>
      </c>
      <c r="E2974" s="12"/>
      <c r="F2974" s="1"/>
      <c r="G2974" s="155" t="s">
        <v>6935</v>
      </c>
      <c r="I2974" s="496"/>
      <c r="J2974" s="335"/>
      <c r="K2974" s="335"/>
      <c r="M2974" s="12"/>
      <c r="N2974" s="12"/>
      <c r="O2974" s="12"/>
      <c r="P2974" s="12"/>
      <c r="Q2974" s="12"/>
      <c r="R2974" s="12"/>
      <c r="S2974" s="12"/>
      <c r="T2974" s="12"/>
      <c r="U2974" s="12"/>
      <c r="V2974" s="12"/>
      <c r="W2974" s="12"/>
      <c r="X2974" s="12"/>
      <c r="Y2974" s="12"/>
      <c r="Z2974" s="12"/>
      <c r="AA2974" s="12"/>
      <c r="AB2974" s="12"/>
    </row>
    <row r="2975" spans="1:28" x14ac:dyDescent="0.35">
      <c r="D2975" s="155"/>
      <c r="E2975" s="12"/>
      <c r="F2975" s="1"/>
      <c r="G2975" s="155"/>
      <c r="I2975" s="496"/>
      <c r="J2975" s="335"/>
      <c r="K2975" s="335"/>
      <c r="M2975" s="12"/>
      <c r="N2975" s="12"/>
      <c r="O2975" s="12"/>
      <c r="P2975" s="12"/>
      <c r="Q2975" s="12"/>
      <c r="R2975" s="12"/>
      <c r="S2975" s="12"/>
      <c r="T2975" s="12"/>
      <c r="U2975" s="12"/>
      <c r="V2975" s="12"/>
      <c r="W2975" s="12"/>
      <c r="X2975" s="12"/>
      <c r="Y2975" s="12"/>
      <c r="Z2975" s="12"/>
      <c r="AA2975" s="12"/>
      <c r="AB2975" s="12"/>
    </row>
    <row r="2976" spans="1:28" s="5" customFormat="1" x14ac:dyDescent="0.35">
      <c r="A2976" s="86" t="s">
        <v>6470</v>
      </c>
    </row>
    <row r="2977" spans="2:28" ht="13.5" customHeight="1" x14ac:dyDescent="0.35">
      <c r="G2977" s="132"/>
      <c r="H2977" s="155"/>
      <c r="I2977" s="155"/>
      <c r="J2977" s="413"/>
      <c r="K2977" s="155"/>
      <c r="L2977" s="155"/>
      <c r="M2977" s="155"/>
      <c r="N2977" s="1"/>
      <c r="R2977" s="73"/>
      <c r="S2977" s="1"/>
      <c r="T2977" s="313"/>
      <c r="U2977" s="1"/>
      <c r="W2977" s="313"/>
      <c r="X2977" s="1"/>
    </row>
    <row r="2978" spans="2:28" ht="13.5" customHeight="1" x14ac:dyDescent="0.35">
      <c r="B2978" s="83" t="s">
        <v>7593</v>
      </c>
      <c r="G2978" s="132"/>
      <c r="H2978" s="155"/>
      <c r="I2978" s="155"/>
      <c r="J2978" s="413"/>
      <c r="K2978" s="155"/>
      <c r="L2978" s="155"/>
      <c r="P2978" s="155"/>
      <c r="Q2978" s="1"/>
      <c r="U2978" s="73"/>
      <c r="V2978" s="1"/>
      <c r="W2978" s="313"/>
      <c r="X2978" s="1"/>
      <c r="Z2978" s="313"/>
      <c r="AA2978" s="1"/>
    </row>
    <row r="2979" spans="2:28" ht="23.5" customHeight="1" x14ac:dyDescent="0.35">
      <c r="D2979" s="123" t="s">
        <v>6403</v>
      </c>
      <c r="E2979" s="4"/>
      <c r="G2979" s="123" t="s">
        <v>7586</v>
      </c>
      <c r="H2979" s="123" t="s">
        <v>7587</v>
      </c>
      <c r="I2979" s="123" t="s">
        <v>7227</v>
      </c>
      <c r="J2979" s="123" t="s">
        <v>7365</v>
      </c>
      <c r="K2979" s="123" t="s">
        <v>7585</v>
      </c>
      <c r="L2979" s="155"/>
      <c r="M2979" s="123" t="s">
        <v>2521</v>
      </c>
      <c r="N2979" s="866" t="s">
        <v>7691</v>
      </c>
      <c r="P2979" s="123" t="s">
        <v>7588</v>
      </c>
      <c r="Q2979" s="123" t="s">
        <v>7589</v>
      </c>
      <c r="R2979" s="123" t="s">
        <v>7645</v>
      </c>
      <c r="S2979" s="123" t="s">
        <v>7591</v>
      </c>
      <c r="U2979" s="123" t="s">
        <v>3641</v>
      </c>
      <c r="X2979" s="123" t="s">
        <v>7590</v>
      </c>
      <c r="Y2979" s="1"/>
      <c r="Z2979" s="313"/>
      <c r="AA2979" s="1"/>
      <c r="AB2979" s="313"/>
    </row>
    <row r="2980" spans="2:28" x14ac:dyDescent="0.35">
      <c r="C2980" s="943"/>
    </row>
    <row r="2981" spans="2:28" ht="13.5" customHeight="1" x14ac:dyDescent="0.35">
      <c r="C2981" s="943"/>
      <c r="D2981" s="297"/>
      <c r="G2981" s="319"/>
      <c r="H2981" s="820"/>
      <c r="I2981" s="331"/>
      <c r="J2981" s="319"/>
      <c r="K2981" s="319"/>
      <c r="L2981" s="318"/>
      <c r="P2981" s="319"/>
      <c r="Q2981" s="319"/>
      <c r="R2981" s="1"/>
      <c r="S2981" s="472"/>
      <c r="T2981" s="472"/>
      <c r="U2981" s="472"/>
      <c r="V2981" s="472"/>
      <c r="W2981" s="472"/>
      <c r="X2981" s="472"/>
      <c r="Y2981" s="824"/>
      <c r="Z2981" s="472"/>
      <c r="AA2981" s="824"/>
      <c r="AB2981" s="313"/>
    </row>
    <row r="2982" spans="2:28" x14ac:dyDescent="0.35">
      <c r="C2982" s="943" t="s">
        <v>9008</v>
      </c>
      <c r="D2982" s="325" t="s">
        <v>9026</v>
      </c>
      <c r="G2982" s="854">
        <f>F$3447</f>
        <v>-2.2000000000000002</v>
      </c>
      <c r="H2982" s="854">
        <f>G$3447</f>
        <v>85</v>
      </c>
      <c r="I2982" s="331">
        <f>N$3447/1000000</f>
        <v>1</v>
      </c>
      <c r="J2982" s="821">
        <f>-W$3447</f>
        <v>-0.03</v>
      </c>
      <c r="K2982" s="821">
        <f>Y$3447</f>
        <v>2.8109028960817715</v>
      </c>
      <c r="L2982" s="318"/>
      <c r="M2982" s="295" t="str">
        <f>I$3447</f>
        <v>20nA NLAST spdt &amp; 8:1 mux (10nA max leakage @ 75C)</v>
      </c>
      <c r="N2982" s="15">
        <f>AI$3447</f>
        <v>20</v>
      </c>
      <c r="P2982" s="821">
        <f t="shared" ref="P2982:Q2986" si="141">S$3447</f>
        <v>2.9924621805792162</v>
      </c>
      <c r="Q2982" s="821">
        <f t="shared" si="141"/>
        <v>0.2813085353492335</v>
      </c>
      <c r="S2982" s="472" t="str">
        <f t="shared" ref="S2982:S2986" si="142">S$2992</f>
        <v>Mvm_Inv - (Main Voltage Monitor, Inverter configuration via Rg series resistor, 16bit a/d can use this while dc/dc conversion is handled by uProcessor)</v>
      </c>
      <c r="T2982" s="472"/>
      <c r="U2982" s="472" t="s">
        <v>7653</v>
      </c>
      <c r="V2982" s="472"/>
      <c r="W2982" s="472"/>
      <c r="X2982" s="472"/>
      <c r="Y2982" s="825"/>
      <c r="Z2982" s="730"/>
      <c r="AA2982" s="472"/>
      <c r="AB2982" s="295"/>
    </row>
    <row r="2983" spans="2:28" x14ac:dyDescent="0.35">
      <c r="C2983" s="943" t="s">
        <v>9008</v>
      </c>
      <c r="D2983" s="325" t="s">
        <v>9027</v>
      </c>
      <c r="G2983" s="854">
        <f t="shared" ref="G2983:H2983" si="143">F$3447</f>
        <v>-2.2000000000000002</v>
      </c>
      <c r="H2983" s="854">
        <f t="shared" si="143"/>
        <v>85</v>
      </c>
      <c r="I2983" s="331">
        <f>N$3447/1000000</f>
        <v>1</v>
      </c>
      <c r="J2983" s="821">
        <f>-W$3447</f>
        <v>-0.03</v>
      </c>
      <c r="K2983" s="821">
        <f>Y$3447</f>
        <v>2.8109028960817715</v>
      </c>
      <c r="L2983" s="318"/>
      <c r="M2983" s="295" t="str">
        <f t="shared" ref="M2983:M2986" si="144">I$3447</f>
        <v>20nA NLAST spdt &amp; 8:1 mux (10nA max leakage @ 75C)</v>
      </c>
      <c r="N2983" s="15">
        <f>AI$3447</f>
        <v>20</v>
      </c>
      <c r="P2983" s="821">
        <f t="shared" si="141"/>
        <v>2.9924621805792162</v>
      </c>
      <c r="Q2983" s="821">
        <f t="shared" si="141"/>
        <v>0.2813085353492335</v>
      </c>
      <c r="S2983" s="472" t="str">
        <f t="shared" si="142"/>
        <v>Mvm_Inv - (Main Voltage Monitor, Inverter configuration via Rg series resistor, 16bit a/d can use this while dc/dc conversion is handled by uProcessor)</v>
      </c>
      <c r="T2983" s="472"/>
      <c r="U2983" s="472" t="s">
        <v>6405</v>
      </c>
      <c r="V2983" s="472"/>
      <c r="W2983" s="472"/>
      <c r="X2983" s="472"/>
      <c r="Y2983" s="825"/>
      <c r="Z2983" s="730"/>
      <c r="AA2983" s="472"/>
      <c r="AB2983" s="295"/>
    </row>
    <row r="2984" spans="2:28" x14ac:dyDescent="0.35">
      <c r="C2984" s="943" t="s">
        <v>9008</v>
      </c>
      <c r="D2984" s="325" t="s">
        <v>7648</v>
      </c>
      <c r="G2984" s="854">
        <f t="shared" ref="G2984:H2984" si="145">F$3447</f>
        <v>-2.2000000000000002</v>
      </c>
      <c r="H2984" s="854">
        <f t="shared" si="145"/>
        <v>85</v>
      </c>
      <c r="I2984" s="331">
        <f>N$3447/1000000</f>
        <v>1</v>
      </c>
      <c r="J2984" s="821">
        <f>-W$3447</f>
        <v>-0.03</v>
      </c>
      <c r="K2984" s="821">
        <f>Y$3447</f>
        <v>2.8109028960817715</v>
      </c>
      <c r="L2984" s="318"/>
      <c r="M2984" s="295" t="str">
        <f t="shared" si="144"/>
        <v>20nA NLAST spdt &amp; 8:1 mux (10nA max leakage @ 75C)</v>
      </c>
      <c r="N2984" s="15">
        <f>AI$3447</f>
        <v>20</v>
      </c>
      <c r="P2984" s="821">
        <f t="shared" si="141"/>
        <v>2.9924621805792162</v>
      </c>
      <c r="Q2984" s="821">
        <f t="shared" si="141"/>
        <v>0.2813085353492335</v>
      </c>
      <c r="S2984" s="472" t="str">
        <f t="shared" si="142"/>
        <v>Mvm_Inv - (Main Voltage Monitor, Inverter configuration via Rg series resistor, 16bit a/d can use this while dc/dc conversion is handled by uProcessor)</v>
      </c>
      <c r="T2984" s="472"/>
      <c r="U2984" s="472" t="s">
        <v>0</v>
      </c>
      <c r="V2984" s="472"/>
      <c r="W2984" s="472"/>
      <c r="X2984" s="472" t="s">
        <v>6406</v>
      </c>
      <c r="Y2984" s="825"/>
      <c r="Z2984" s="730"/>
      <c r="AA2984" s="472"/>
      <c r="AB2984" s="295"/>
    </row>
    <row r="2985" spans="2:28" x14ac:dyDescent="0.35">
      <c r="C2985" s="943" t="s">
        <v>9008</v>
      </c>
      <c r="D2985" s="325" t="s">
        <v>7649</v>
      </c>
      <c r="E2985" s="318"/>
      <c r="G2985" s="854">
        <f t="shared" ref="G2985:H2985" si="146">F$3447</f>
        <v>-2.2000000000000002</v>
      </c>
      <c r="H2985" s="854">
        <f t="shared" si="146"/>
        <v>85</v>
      </c>
      <c r="I2985" s="331">
        <f>N$3447/1000000</f>
        <v>1</v>
      </c>
      <c r="J2985" s="821">
        <f>-W$3447</f>
        <v>-0.03</v>
      </c>
      <c r="K2985" s="821">
        <f>Y$3447</f>
        <v>2.8109028960817715</v>
      </c>
      <c r="L2985" s="318"/>
      <c r="M2985" s="295" t="str">
        <f t="shared" si="144"/>
        <v>20nA NLAST spdt &amp; 8:1 mux (10nA max leakage @ 75C)</v>
      </c>
      <c r="N2985" s="15">
        <f>AI$3447</f>
        <v>20</v>
      </c>
      <c r="P2985" s="821">
        <f t="shared" si="141"/>
        <v>2.9924621805792162</v>
      </c>
      <c r="Q2985" s="821">
        <f t="shared" si="141"/>
        <v>0.2813085353492335</v>
      </c>
      <c r="S2985" s="472" t="str">
        <f t="shared" si="142"/>
        <v>Mvm_Inv - (Main Voltage Monitor, Inverter configuration via Rg series resistor, 16bit a/d can use this while dc/dc conversion is handled by uProcessor)</v>
      </c>
      <c r="T2985" s="472"/>
      <c r="U2985" s="472" t="s">
        <v>0</v>
      </c>
      <c r="V2985" s="472"/>
      <c r="W2985" s="472"/>
      <c r="X2985" s="472" t="s">
        <v>6406</v>
      </c>
      <c r="Y2985" s="825"/>
      <c r="Z2985" s="730"/>
      <c r="AA2985" s="472"/>
      <c r="AB2985" s="295"/>
    </row>
    <row r="2986" spans="2:28" x14ac:dyDescent="0.35">
      <c r="C2986" s="943" t="s">
        <v>9008</v>
      </c>
      <c r="D2986" s="325" t="s">
        <v>7650</v>
      </c>
      <c r="E2986" s="318"/>
      <c r="G2986" s="854">
        <f t="shared" ref="G2986:H2986" si="147">F$3447</f>
        <v>-2.2000000000000002</v>
      </c>
      <c r="H2986" s="854">
        <f t="shared" si="147"/>
        <v>85</v>
      </c>
      <c r="I2986" s="331">
        <f>N$3447/1000000</f>
        <v>1</v>
      </c>
      <c r="J2986" s="821">
        <f>-W$3447</f>
        <v>-0.03</v>
      </c>
      <c r="K2986" s="821">
        <f>Y$3447</f>
        <v>2.8109028960817715</v>
      </c>
      <c r="L2986" s="318"/>
      <c r="M2986" s="295" t="str">
        <f t="shared" si="144"/>
        <v>20nA NLAST spdt &amp; 8:1 mux (10nA max leakage @ 75C)</v>
      </c>
      <c r="N2986" s="15">
        <f>AI$3447</f>
        <v>20</v>
      </c>
      <c r="P2986" s="821">
        <f t="shared" si="141"/>
        <v>2.9924621805792162</v>
      </c>
      <c r="Q2986" s="821">
        <f t="shared" si="141"/>
        <v>0.2813085353492335</v>
      </c>
      <c r="S2986" s="472" t="str">
        <f t="shared" si="142"/>
        <v>Mvm_Inv - (Main Voltage Monitor, Inverter configuration via Rg series resistor, 16bit a/d can use this while dc/dc conversion is handled by uProcessor)</v>
      </c>
      <c r="T2986" s="472"/>
      <c r="U2986" s="472" t="s">
        <v>7653</v>
      </c>
      <c r="V2986" s="472"/>
      <c r="W2986" s="472"/>
      <c r="X2986" s="472"/>
      <c r="Y2986" s="825"/>
      <c r="Z2986" s="730"/>
      <c r="AA2986" s="472"/>
      <c r="AB2986" s="295"/>
    </row>
    <row r="2987" spans="2:28" x14ac:dyDescent="0.35">
      <c r="C2987" s="943"/>
      <c r="D2987" s="325"/>
      <c r="E2987" s="318"/>
      <c r="G2987" s="325"/>
      <c r="H2987" s="658"/>
      <c r="I2987" s="13"/>
      <c r="S2987" s="472"/>
      <c r="T2987" s="472"/>
      <c r="U2987" s="472"/>
      <c r="V2987" s="472"/>
      <c r="W2987" s="472"/>
      <c r="X2987" s="472"/>
      <c r="Y2987" s="825"/>
      <c r="Z2987" s="730"/>
      <c r="AA2987" s="472"/>
      <c r="AB2987" s="295"/>
    </row>
    <row r="2988" spans="2:28" x14ac:dyDescent="0.35">
      <c r="C2988" s="943" t="s">
        <v>9022</v>
      </c>
      <c r="D2988" s="325" t="s">
        <v>7651</v>
      </c>
      <c r="E2988" s="318"/>
      <c r="G2988" s="849">
        <f>D3343/1000</f>
        <v>-0.03</v>
      </c>
      <c r="H2988" s="850">
        <f>D3344/1000</f>
        <v>0.03</v>
      </c>
      <c r="I2988" s="13"/>
      <c r="J2988" s="15">
        <f>D3347</f>
        <v>46.747967479674799</v>
      </c>
      <c r="K2988" s="10">
        <f>J3353</f>
        <v>0.21991786447638603</v>
      </c>
      <c r="P2988" s="10">
        <f>D3345/1000</f>
        <v>3.0710105340478457</v>
      </c>
      <c r="Q2988" s="851">
        <f>D3346/1000</f>
        <v>5.0750371446219474E-2</v>
      </c>
      <c r="S2988" s="826" t="s">
        <v>7592</v>
      </c>
      <c r="T2988" s="472"/>
      <c r="U2988" s="472" t="s">
        <v>0</v>
      </c>
      <c r="V2988" s="472"/>
      <c r="W2988" s="472"/>
      <c r="X2988" s="472" t="s">
        <v>7647</v>
      </c>
      <c r="Y2988" s="825"/>
      <c r="Z2988" s="730"/>
      <c r="AA2988" s="472"/>
      <c r="AB2988" s="295"/>
    </row>
    <row r="2989" spans="2:28" x14ac:dyDescent="0.35">
      <c r="C2989" s="943"/>
      <c r="D2989" s="325"/>
      <c r="E2989" s="318"/>
      <c r="G2989" s="848"/>
      <c r="H2989" s="658"/>
      <c r="I2989" s="853"/>
      <c r="J2989" s="318"/>
      <c r="K2989" s="318"/>
      <c r="L2989" s="318"/>
      <c r="P2989" s="320"/>
      <c r="Q2989" s="329"/>
      <c r="S2989" s="295"/>
      <c r="T2989" s="295"/>
      <c r="U2989" s="313"/>
      <c r="V2989" s="822"/>
      <c r="W2989" s="823"/>
      <c r="X2989" s="295"/>
      <c r="Y2989" s="295"/>
      <c r="Z2989" s="295"/>
      <c r="AA2989" s="295"/>
      <c r="AB2989" s="295"/>
    </row>
    <row r="2990" spans="2:28" x14ac:dyDescent="0.35">
      <c r="C2990" s="943" t="s">
        <v>9022</v>
      </c>
      <c r="D2990" s="325" t="s">
        <v>7652</v>
      </c>
      <c r="E2990" s="318"/>
      <c r="G2990" s="849">
        <f>D3396/1000</f>
        <v>-2E-3</v>
      </c>
      <c r="H2990" s="850">
        <f>D3397/1000</f>
        <v>0.02</v>
      </c>
      <c r="I2990" s="13"/>
      <c r="J2990" s="15">
        <f>D3400</f>
        <v>117.02127659574468</v>
      </c>
      <c r="K2990" s="10">
        <f>J3406</f>
        <v>0.21991786447638603</v>
      </c>
      <c r="P2990" s="10">
        <f>D3398/1000</f>
        <v>3.0508313163528333</v>
      </c>
      <c r="Q2990" s="851">
        <f>D3399/1000</f>
        <v>-3.8275066625890274E-2</v>
      </c>
      <c r="S2990" s="826" t="s">
        <v>7646</v>
      </c>
      <c r="T2990" s="295"/>
      <c r="U2990" s="472" t="s">
        <v>7654</v>
      </c>
      <c r="V2990" s="822"/>
      <c r="W2990" s="823"/>
      <c r="X2990" s="295"/>
      <c r="Y2990" s="295"/>
      <c r="Z2990" s="295"/>
      <c r="AA2990" s="295"/>
      <c r="AB2990" s="295"/>
    </row>
    <row r="2991" spans="2:28" x14ac:dyDescent="0.35">
      <c r="C2991" s="943"/>
      <c r="D2991" s="325"/>
      <c r="E2991" s="318"/>
      <c r="G2991" s="849"/>
      <c r="H2991" s="850"/>
      <c r="I2991" s="13"/>
      <c r="J2991" s="15"/>
      <c r="K2991" s="10"/>
      <c r="P2991" s="10"/>
      <c r="Q2991" s="851"/>
      <c r="S2991" s="826"/>
      <c r="T2991" s="295"/>
      <c r="U2991" s="313"/>
      <c r="V2991" s="822"/>
      <c r="W2991" s="823"/>
      <c r="X2991" s="295"/>
      <c r="Y2991" s="295"/>
      <c r="Z2991" s="295"/>
      <c r="AA2991" s="295"/>
      <c r="AB2991" s="295"/>
    </row>
    <row r="2992" spans="2:28" x14ac:dyDescent="0.35">
      <c r="C2992" s="943" t="s">
        <v>9008</v>
      </c>
      <c r="D2992" s="325" t="s">
        <v>7657</v>
      </c>
      <c r="E2992" s="318"/>
      <c r="F2992" s="849"/>
      <c r="G2992" s="850">
        <f>F3454</f>
        <v>-0.05</v>
      </c>
      <c r="H2992" s="850">
        <f>G3454</f>
        <v>3.05</v>
      </c>
      <c r="I2992" s="10">
        <f>N$3454/1000000</f>
        <v>3.3000000000000002E-2</v>
      </c>
      <c r="J2992" s="10">
        <f>W3454</f>
        <v>0.90909090909090906</v>
      </c>
      <c r="K2992" s="10">
        <f>Y3454</f>
        <v>1.5429740269809948</v>
      </c>
      <c r="L2992" s="10"/>
      <c r="M2992" s="295" t="str">
        <f>I$3454</f>
        <v>20nA NLAST spdt &amp; 8:1 mux (10nA max leakage @ 75C)</v>
      </c>
      <c r="N2992" s="13">
        <f>AI$3454</f>
        <v>0.66</v>
      </c>
      <c r="P2992" s="851">
        <f>S$3454</f>
        <v>2.9902924310852868</v>
      </c>
      <c r="Q2992" s="10">
        <f>T$3454</f>
        <v>0.14035385375123943</v>
      </c>
      <c r="R2992" s="826"/>
      <c r="S2992" s="826" t="s">
        <v>8205</v>
      </c>
      <c r="T2992" s="313"/>
      <c r="U2992" s="822"/>
      <c r="V2992" s="823"/>
      <c r="W2992" s="295"/>
      <c r="X2992" s="295"/>
      <c r="Y2992" s="295"/>
      <c r="Z2992" s="295"/>
      <c r="AA2992" s="295"/>
      <c r="AB2992" s="295"/>
    </row>
    <row r="2993" spans="3:28" x14ac:dyDescent="0.35">
      <c r="C2993" s="943" t="s">
        <v>9022</v>
      </c>
      <c r="D2993" s="325" t="s">
        <v>7656</v>
      </c>
      <c r="E2993" s="318"/>
      <c r="F2993" s="849"/>
      <c r="G2993" s="850">
        <f>G2952</f>
        <v>0</v>
      </c>
      <c r="H2993" s="10">
        <f>K2952</f>
        <v>3.3096199999999998</v>
      </c>
      <c r="I2993" s="13"/>
      <c r="J2993" s="10"/>
      <c r="L2993" s="10"/>
      <c r="P2993" s="851">
        <f>G2993</f>
        <v>0</v>
      </c>
      <c r="Q2993" s="851">
        <f>H2993</f>
        <v>3.3096199999999998</v>
      </c>
      <c r="R2993" s="826"/>
      <c r="S2993" s="826" t="s">
        <v>7658</v>
      </c>
      <c r="T2993" s="313"/>
      <c r="U2993" s="822"/>
      <c r="V2993" s="823"/>
      <c r="W2993" s="295"/>
      <c r="X2993" s="295"/>
      <c r="Y2993" s="295"/>
      <c r="Z2993" s="295"/>
      <c r="AA2993" s="295"/>
      <c r="AB2993" s="295"/>
    </row>
    <row r="2994" spans="3:28" x14ac:dyDescent="0.35">
      <c r="C2994" s="943" t="s">
        <v>9022</v>
      </c>
      <c r="D2994" s="325" t="s">
        <v>7692</v>
      </c>
      <c r="E2994" s="318"/>
      <c r="F2994" s="849"/>
      <c r="G2994" s="850">
        <f>G2953</f>
        <v>0</v>
      </c>
      <c r="H2994" s="10">
        <f>K2953</f>
        <v>3.1913799999999997</v>
      </c>
      <c r="I2994" s="13"/>
      <c r="J2994" s="10"/>
      <c r="L2994" s="10"/>
      <c r="P2994" s="851">
        <f>G2994</f>
        <v>0</v>
      </c>
      <c r="Q2994" s="851">
        <f>H2994</f>
        <v>3.1913799999999997</v>
      </c>
      <c r="R2994" s="826"/>
      <c r="S2994" s="826" t="s">
        <v>7658</v>
      </c>
      <c r="T2994" s="313"/>
      <c r="U2994" s="822"/>
      <c r="V2994" s="823"/>
      <c r="W2994" s="295"/>
      <c r="X2994" s="295"/>
      <c r="Y2994" s="295"/>
      <c r="Z2994" s="295"/>
      <c r="AA2994" s="295"/>
      <c r="AB2994" s="295"/>
    </row>
    <row r="2995" spans="3:28" x14ac:dyDescent="0.35">
      <c r="C2995" s="943"/>
      <c r="D2995" s="325"/>
      <c r="E2995" s="318"/>
      <c r="F2995" s="325"/>
      <c r="G2995" s="658"/>
      <c r="H2995" s="325"/>
      <c r="I2995" s="331"/>
      <c r="J2995" s="318"/>
      <c r="K2995" s="318"/>
      <c r="L2995" s="320"/>
      <c r="P2995" s="329"/>
      <c r="R2995" s="295"/>
      <c r="T2995" s="313"/>
      <c r="U2995" s="822"/>
      <c r="V2995" s="823"/>
      <c r="W2995" s="295"/>
      <c r="X2995" s="295"/>
      <c r="Y2995" s="295"/>
      <c r="Z2995" s="295"/>
      <c r="AA2995" s="295"/>
      <c r="AB2995" s="295"/>
    </row>
    <row r="2996" spans="3:28" x14ac:dyDescent="0.35">
      <c r="C2996" s="943" t="s">
        <v>9022</v>
      </c>
      <c r="D2996" s="325" t="s">
        <v>7663</v>
      </c>
      <c r="E2996" s="318"/>
      <c r="F2996" s="325"/>
      <c r="G2996" s="850">
        <f>G$2993</f>
        <v>0</v>
      </c>
      <c r="H2996" s="10">
        <f>H$2993</f>
        <v>3.3096199999999998</v>
      </c>
      <c r="I2996" s="13"/>
      <c r="J2996" s="10"/>
      <c r="L2996" s="10"/>
      <c r="P2996" s="851">
        <f>G2996</f>
        <v>0</v>
      </c>
      <c r="Q2996" s="851">
        <f>H2996</f>
        <v>3.3096199999999998</v>
      </c>
      <c r="R2996" s="826"/>
      <c r="S2996" s="761" t="str">
        <f>S$2993</f>
        <v>Mvm_NonInv - (Main Voltage Monitor, NON-Inverter G=1, 16bit a/d can use this while dc/dc conversion is handled by uProcessor)</v>
      </c>
      <c r="T2996" s="313"/>
      <c r="U2996" s="822"/>
      <c r="V2996" s="823"/>
      <c r="W2996" s="295"/>
      <c r="X2996" s="295"/>
      <c r="Y2996" s="295"/>
      <c r="Z2996" s="295"/>
      <c r="AA2996" s="295"/>
      <c r="AB2996" s="295"/>
    </row>
    <row r="2997" spans="3:28" x14ac:dyDescent="0.35">
      <c r="C2997" s="943" t="s">
        <v>9022</v>
      </c>
      <c r="D2997" s="325" t="s">
        <v>7664</v>
      </c>
      <c r="E2997" s="318"/>
      <c r="F2997" s="325"/>
      <c r="G2997" s="850">
        <f>G$2993</f>
        <v>0</v>
      </c>
      <c r="H2997" s="10">
        <f>H$2993</f>
        <v>3.3096199999999998</v>
      </c>
      <c r="I2997" s="13"/>
      <c r="J2997" s="10"/>
      <c r="L2997" s="10"/>
      <c r="P2997" s="851">
        <f>G2997</f>
        <v>0</v>
      </c>
      <c r="Q2997" s="851">
        <f>H2997</f>
        <v>3.3096199999999998</v>
      </c>
      <c r="R2997" s="826"/>
      <c r="S2997" s="761" t="str">
        <f>S$2993</f>
        <v>Mvm_NonInv - (Main Voltage Monitor, NON-Inverter G=1, 16bit a/d can use this while dc/dc conversion is handled by uProcessor)</v>
      </c>
      <c r="T2997" s="313"/>
      <c r="U2997" s="822"/>
      <c r="V2997" s="823"/>
      <c r="W2997" s="295"/>
      <c r="X2997" s="295"/>
      <c r="Y2997" s="295"/>
      <c r="Z2997" s="295"/>
      <c r="AA2997" s="295"/>
      <c r="AB2997" s="295"/>
    </row>
    <row r="2998" spans="3:28" x14ac:dyDescent="0.35">
      <c r="C2998" s="943"/>
      <c r="D2998" s="325"/>
      <c r="E2998" s="318"/>
      <c r="F2998" s="325"/>
      <c r="G2998" s="850"/>
      <c r="H2998" s="10"/>
      <c r="I2998" s="13"/>
      <c r="J2998" s="10"/>
      <c r="L2998" s="10"/>
      <c r="P2998" s="851"/>
      <c r="Q2998" s="851"/>
      <c r="R2998" s="826"/>
      <c r="S2998" s="761"/>
      <c r="T2998" s="313"/>
      <c r="U2998" s="822"/>
      <c r="V2998" s="823"/>
      <c r="W2998" s="295"/>
      <c r="X2998" s="295"/>
      <c r="Y2998" s="295"/>
      <c r="Z2998" s="295"/>
      <c r="AA2998" s="295"/>
      <c r="AB2998" s="295"/>
    </row>
    <row r="2999" spans="3:28" x14ac:dyDescent="0.35">
      <c r="C2999" s="943" t="s">
        <v>9019</v>
      </c>
      <c r="D2999" s="325" t="s">
        <v>9506</v>
      </c>
      <c r="E2999" s="318"/>
      <c r="F2999" s="325"/>
      <c r="G2999" s="850">
        <f>F3457</f>
        <v>-0.03</v>
      </c>
      <c r="H2999" s="850">
        <f>G3457</f>
        <v>0.03</v>
      </c>
      <c r="I2999" s="10">
        <f>N$3458/1000000</f>
        <v>0.01</v>
      </c>
      <c r="J2999" s="10">
        <f>W$3458</f>
        <v>3</v>
      </c>
      <c r="K2999" s="10">
        <f>Y$3458</f>
        <v>0.22020531964535695</v>
      </c>
      <c r="L2999" s="10"/>
      <c r="M2999" s="295" t="str">
        <f>I$3458</f>
        <v>20nA NLAST spdt &amp; 8:1 mux (10nA max leakage @ 75C)</v>
      </c>
      <c r="N2999" s="13">
        <f>AI$3458</f>
        <v>0.19999999999999998</v>
      </c>
      <c r="P2999" s="851">
        <f>S$3458</f>
        <v>0.9621661455902939</v>
      </c>
      <c r="Q2999" s="10">
        <f>T$3458</f>
        <v>0.80325141157256164</v>
      </c>
      <c r="R2999" s="826"/>
      <c r="S2999" s="472" t="str">
        <f>S$2992</f>
        <v>Mvm_Inv - (Main Voltage Monitor, Inverter configuration via Rg series resistor, 16bit a/d can use this while dc/dc conversion is handled by uProcessor)</v>
      </c>
      <c r="T2999" s="313"/>
      <c r="U2999" s="822"/>
      <c r="V2999" s="823"/>
      <c r="W2999" s="295"/>
      <c r="X2999" s="295"/>
      <c r="Y2999" s="295"/>
      <c r="Z2999" s="295"/>
      <c r="AA2999" s="295"/>
      <c r="AB2999" s="295"/>
    </row>
    <row r="3000" spans="3:28" x14ac:dyDescent="0.35">
      <c r="C3000" s="943" t="s">
        <v>9020</v>
      </c>
      <c r="D3000" s="325" t="s">
        <v>8167</v>
      </c>
      <c r="E3000" s="318"/>
      <c r="F3000" s="325"/>
      <c r="G3000" s="850">
        <f>F3461</f>
        <v>-0.03</v>
      </c>
      <c r="H3000" s="850">
        <f>G3461</f>
        <v>0.03</v>
      </c>
      <c r="I3000" s="10">
        <f>N$3461/1000000</f>
        <v>0.01</v>
      </c>
      <c r="J3000" s="10">
        <f>W$3461</f>
        <v>3</v>
      </c>
      <c r="K3000" s="10">
        <f>Y$3461</f>
        <v>0.22020531964535695</v>
      </c>
      <c r="L3000" s="10"/>
      <c r="M3000" s="295" t="str">
        <f>I$3461</f>
        <v>1uA VHC4051, no external diode or spdt (1uA max leakage @ 85C)</v>
      </c>
      <c r="N3000" s="15">
        <f>AI$3461</f>
        <v>10</v>
      </c>
      <c r="P3000" s="851">
        <f>S$3461</f>
        <v>0.9621661455902939</v>
      </c>
      <c r="Q3000" s="10">
        <f>T$3461</f>
        <v>0.80325141157256164</v>
      </c>
      <c r="R3000" s="826"/>
      <c r="S3000" s="472" t="str">
        <f>S$2992</f>
        <v>Mvm_Inv - (Main Voltage Monitor, Inverter configuration via Rg series resistor, 16bit a/d can use this while dc/dc conversion is handled by uProcessor)</v>
      </c>
      <c r="T3000" s="313"/>
      <c r="U3000" s="822"/>
      <c r="V3000" s="823"/>
      <c r="W3000" s="295"/>
      <c r="X3000" s="295"/>
      <c r="Y3000" s="295"/>
      <c r="Z3000" s="295"/>
      <c r="AA3000" s="295"/>
      <c r="AB3000" s="295"/>
    </row>
    <row r="3001" spans="3:28" x14ac:dyDescent="0.35">
      <c r="C3001" s="943" t="s">
        <v>0</v>
      </c>
      <c r="D3001" s="325" t="s">
        <v>7665</v>
      </c>
      <c r="E3001" s="318"/>
      <c r="F3001" s="325"/>
      <c r="G3001" s="850">
        <f>G$2993</f>
        <v>0</v>
      </c>
      <c r="H3001" s="10">
        <f>H$2993</f>
        <v>3.3096199999999998</v>
      </c>
      <c r="I3001" s="13"/>
      <c r="J3001" s="10"/>
      <c r="L3001" s="10"/>
      <c r="P3001" s="851">
        <f>G3001</f>
        <v>0</v>
      </c>
      <c r="Q3001" s="851">
        <f>H3001</f>
        <v>3.3096199999999998</v>
      </c>
      <c r="R3001" s="826"/>
      <c r="S3001" s="761" t="str">
        <f>S$2993</f>
        <v>Mvm_NonInv - (Main Voltage Monitor, NON-Inverter G=1, 16bit a/d can use this while dc/dc conversion is handled by uProcessor)</v>
      </c>
      <c r="T3001" s="313"/>
      <c r="U3001" s="822"/>
      <c r="V3001" s="823"/>
      <c r="W3001" s="295"/>
      <c r="X3001" s="295"/>
      <c r="Y3001" s="295"/>
      <c r="Z3001" s="295"/>
      <c r="AA3001" s="295"/>
      <c r="AB3001" s="295"/>
    </row>
    <row r="3002" spans="3:28" x14ac:dyDescent="0.35">
      <c r="C3002" s="943"/>
      <c r="D3002" s="325"/>
      <c r="E3002" s="318"/>
      <c r="F3002" s="325"/>
      <c r="G3002" s="850"/>
      <c r="H3002" s="10"/>
      <c r="I3002" s="15"/>
      <c r="J3002" s="10"/>
      <c r="L3002" s="10"/>
      <c r="P3002" s="851"/>
      <c r="Q3002" s="851"/>
      <c r="R3002" s="826"/>
      <c r="S3002" s="761"/>
      <c r="T3002" s="313"/>
      <c r="U3002" s="822"/>
      <c r="V3002" s="823"/>
      <c r="W3002" s="295"/>
      <c r="X3002" s="295"/>
      <c r="Y3002" s="295"/>
      <c r="Z3002" s="295"/>
      <c r="AA3002" s="295"/>
      <c r="AB3002" s="295"/>
    </row>
    <row r="3003" spans="3:28" x14ac:dyDescent="0.35">
      <c r="C3003" s="943" t="s">
        <v>9011</v>
      </c>
      <c r="D3003" s="325" t="s">
        <v>9018</v>
      </c>
      <c r="E3003" s="318"/>
      <c r="F3003" s="325"/>
      <c r="G3003" s="850">
        <f>F$3452</f>
        <v>2.6</v>
      </c>
      <c r="H3003" s="850">
        <f>G$3452</f>
        <v>5.5</v>
      </c>
      <c r="I3003" s="10">
        <f>N$3452/1000000</f>
        <v>3.3000000000000002E-2</v>
      </c>
      <c r="J3003" s="10">
        <f>W$3452</f>
        <v>0.90909090909090906</v>
      </c>
      <c r="K3003" s="10">
        <f>Y$3452</f>
        <v>2.8109028960817715</v>
      </c>
      <c r="L3003" s="10"/>
      <c r="M3003" s="295" t="str">
        <f>I$3453</f>
        <v>1uA VHC4051, no external diode or spdt (1uA max leakage @ 85C)</v>
      </c>
      <c r="N3003" s="15">
        <f>AI$3453</f>
        <v>33</v>
      </c>
      <c r="P3003" s="851">
        <f>S$3453</f>
        <v>3.0333474639925657</v>
      </c>
      <c r="Q3003" s="10">
        <f>T$3453</f>
        <v>0.30439086650147029</v>
      </c>
      <c r="R3003" s="826"/>
      <c r="S3003" s="472" t="str">
        <f t="shared" ref="S3003:S3007" si="148">S$2992</f>
        <v>Mvm_Inv - (Main Voltage Monitor, Inverter configuration via Rg series resistor, 16bit a/d can use this while dc/dc conversion is handled by uProcessor)</v>
      </c>
      <c r="T3003" s="313"/>
      <c r="U3003" s="822"/>
      <c r="V3003" s="823"/>
      <c r="W3003" s="295"/>
      <c r="X3003" s="295"/>
      <c r="Y3003" s="295"/>
      <c r="Z3003" s="295"/>
      <c r="AA3003" s="295"/>
      <c r="AB3003" s="295"/>
    </row>
    <row r="3004" spans="3:28" x14ac:dyDescent="0.35">
      <c r="C3004" s="943" t="s">
        <v>9011</v>
      </c>
      <c r="D3004" s="325" t="s">
        <v>9017</v>
      </c>
      <c r="E3004" s="318"/>
      <c r="F3004" s="325"/>
      <c r="G3004" s="850">
        <f>F$3452</f>
        <v>2.6</v>
      </c>
      <c r="H3004" s="850">
        <f>G$3452</f>
        <v>5.5</v>
      </c>
      <c r="I3004" s="10">
        <f>N$3452/1000000</f>
        <v>3.3000000000000002E-2</v>
      </c>
      <c r="J3004" s="10">
        <f>W$3452</f>
        <v>0.90909090909090906</v>
      </c>
      <c r="K3004" s="10">
        <f>Y$3452</f>
        <v>2.8109028960817715</v>
      </c>
      <c r="L3004" s="10"/>
      <c r="M3004" s="295" t="str">
        <f>I$3453</f>
        <v>1uA VHC4051, no external diode or spdt (1uA max leakage @ 85C)</v>
      </c>
      <c r="N3004" s="15">
        <f>AI$3453</f>
        <v>33</v>
      </c>
      <c r="P3004" s="851">
        <f>S$3453</f>
        <v>3.0333474639925657</v>
      </c>
      <c r="Q3004" s="10">
        <f>T$3453</f>
        <v>0.30439086650147029</v>
      </c>
      <c r="R3004" s="826"/>
      <c r="S3004" s="472" t="str">
        <f t="shared" si="148"/>
        <v>Mvm_Inv - (Main Voltage Monitor, Inverter configuration via Rg series resistor, 16bit a/d can use this while dc/dc conversion is handled by uProcessor)</v>
      </c>
      <c r="T3004" s="313"/>
      <c r="U3004" s="822"/>
      <c r="V3004" s="823"/>
      <c r="W3004" s="295"/>
      <c r="X3004" s="295"/>
      <c r="Y3004" s="295"/>
      <c r="Z3004" s="295"/>
      <c r="AA3004" s="295"/>
      <c r="AB3004" s="295"/>
    </row>
    <row r="3005" spans="3:28" x14ac:dyDescent="0.35">
      <c r="C3005" s="943" t="s">
        <v>9011</v>
      </c>
      <c r="D3005" s="325" t="s">
        <v>9016</v>
      </c>
      <c r="E3005" s="318"/>
      <c r="F3005" s="325"/>
      <c r="G3005" s="850">
        <f>F$3455</f>
        <v>-3</v>
      </c>
      <c r="H3005" s="850">
        <f>G$3455</f>
        <v>-0.05</v>
      </c>
      <c r="I3005" s="10">
        <f>N$3455/1000000</f>
        <v>3.3000000000000002E-2</v>
      </c>
      <c r="J3005" s="10">
        <f>W$3455</f>
        <v>0.90909090909090906</v>
      </c>
      <c r="K3005" s="10">
        <f>Y$3455</f>
        <v>0</v>
      </c>
      <c r="L3005" s="10"/>
      <c r="M3005" s="295" t="str">
        <f>I$3455</f>
        <v>1uA VHC4051, no external diode or spdt (1uA max leakage @ 85C)</v>
      </c>
      <c r="N3005" s="15">
        <f>AI$3455</f>
        <v>33</v>
      </c>
      <c r="P3005" s="851">
        <f>S$3455</f>
        <v>2.6911568181818177</v>
      </c>
      <c r="Q3005" s="10">
        <f>T$3455</f>
        <v>4.9838636363636363E-2</v>
      </c>
      <c r="R3005" s="826"/>
      <c r="S3005" s="472" t="str">
        <f t="shared" si="148"/>
        <v>Mvm_Inv - (Main Voltage Monitor, Inverter configuration via Rg series resistor, 16bit a/d can use this while dc/dc conversion is handled by uProcessor)</v>
      </c>
      <c r="T3005" s="313"/>
      <c r="U3005" s="822"/>
      <c r="V3005" s="823"/>
      <c r="W3005" s="295"/>
      <c r="X3005" s="295"/>
      <c r="Y3005" s="295"/>
      <c r="Z3005" s="295"/>
      <c r="AA3005" s="295"/>
      <c r="AB3005" s="295"/>
    </row>
    <row r="3006" spans="3:28" x14ac:dyDescent="0.35">
      <c r="C3006" s="943" t="s">
        <v>9011</v>
      </c>
      <c r="D3006" s="325" t="s">
        <v>9015</v>
      </c>
      <c r="E3006" s="318"/>
      <c r="F3006" s="325"/>
      <c r="G3006" s="850">
        <f>F$3452</f>
        <v>2.6</v>
      </c>
      <c r="H3006" s="850">
        <f>G$3452</f>
        <v>5.5</v>
      </c>
      <c r="I3006" s="10">
        <f>N$3452/1000000</f>
        <v>3.3000000000000002E-2</v>
      </c>
      <c r="J3006" s="10">
        <f>W$3452</f>
        <v>0.90909090909090906</v>
      </c>
      <c r="K3006" s="10">
        <f>Y$3452</f>
        <v>2.8109028960817715</v>
      </c>
      <c r="L3006" s="10"/>
      <c r="M3006" s="295" t="str">
        <f>I$3453</f>
        <v>1uA VHC4051, no external diode or spdt (1uA max leakage @ 85C)</v>
      </c>
      <c r="N3006" s="15">
        <f>AI$3453</f>
        <v>33</v>
      </c>
      <c r="P3006" s="851">
        <f>S$3453</f>
        <v>3.0333474639925657</v>
      </c>
      <c r="Q3006" s="10">
        <f>T$3453</f>
        <v>0.30439086650147029</v>
      </c>
      <c r="R3006" s="295"/>
      <c r="S3006" s="472" t="str">
        <f t="shared" si="148"/>
        <v>Mvm_Inv - (Main Voltage Monitor, Inverter configuration via Rg series resistor, 16bit a/d can use this while dc/dc conversion is handled by uProcessor)</v>
      </c>
      <c r="T3006" s="313"/>
      <c r="U3006" s="822"/>
      <c r="V3006" s="823"/>
      <c r="W3006" s="295"/>
      <c r="X3006" s="295"/>
      <c r="Y3006" s="295"/>
      <c r="Z3006" s="295"/>
      <c r="AA3006" s="295"/>
      <c r="AB3006" s="295"/>
    </row>
    <row r="3007" spans="3:28" x14ac:dyDescent="0.35">
      <c r="C3007" s="943" t="s">
        <v>9011</v>
      </c>
      <c r="D3007" s="325" t="s">
        <v>9014</v>
      </c>
      <c r="E3007" s="318"/>
      <c r="F3007" s="325"/>
      <c r="G3007" s="850">
        <f>F$3452</f>
        <v>2.6</v>
      </c>
      <c r="H3007" s="850">
        <f>G$3452</f>
        <v>5.5</v>
      </c>
      <c r="I3007" s="10">
        <f>N$3452/1000000</f>
        <v>3.3000000000000002E-2</v>
      </c>
      <c r="J3007" s="10">
        <f>W$3452</f>
        <v>0.90909090909090906</v>
      </c>
      <c r="K3007" s="10">
        <f>Y$3452</f>
        <v>2.8109028960817715</v>
      </c>
      <c r="L3007" s="10"/>
      <c r="M3007" s="295" t="str">
        <f>I$3453</f>
        <v>1uA VHC4051, no external diode or spdt (1uA max leakage @ 85C)</v>
      </c>
      <c r="N3007" s="15">
        <f>AI$3453</f>
        <v>33</v>
      </c>
      <c r="P3007" s="851">
        <f>S$3453</f>
        <v>3.0333474639925657</v>
      </c>
      <c r="Q3007" s="10">
        <f>T$3453</f>
        <v>0.30439086650147029</v>
      </c>
      <c r="R3007" s="295"/>
      <c r="S3007" s="472" t="str">
        <f t="shared" si="148"/>
        <v>Mvm_Inv - (Main Voltage Monitor, Inverter configuration via Rg series resistor, 16bit a/d can use this while dc/dc conversion is handled by uProcessor)</v>
      </c>
      <c r="T3007" s="313"/>
      <c r="U3007" s="822"/>
      <c r="V3007" s="823"/>
      <c r="W3007" s="295"/>
      <c r="X3007" s="295"/>
      <c r="Y3007" s="295"/>
      <c r="Z3007" s="295"/>
      <c r="AA3007" s="295"/>
      <c r="AB3007" s="295"/>
    </row>
    <row r="3008" spans="3:28" x14ac:dyDescent="0.35">
      <c r="C3008" s="943"/>
      <c r="D3008" s="325"/>
      <c r="E3008" s="318"/>
      <c r="F3008" s="325"/>
      <c r="G3008" s="850"/>
      <c r="H3008" s="850"/>
      <c r="I3008" s="10"/>
      <c r="J3008" s="10"/>
      <c r="K3008" s="10"/>
      <c r="L3008" s="10"/>
      <c r="P3008" s="851"/>
      <c r="Q3008" s="10"/>
      <c r="R3008" s="295"/>
      <c r="S3008" s="472"/>
      <c r="T3008" s="313"/>
      <c r="U3008" s="822"/>
      <c r="V3008" s="823"/>
      <c r="W3008" s="295"/>
      <c r="X3008" s="295"/>
      <c r="Y3008" s="295"/>
      <c r="Z3008" s="295"/>
      <c r="AA3008" s="295"/>
      <c r="AB3008" s="295"/>
    </row>
    <row r="3009" spans="3:28" x14ac:dyDescent="0.35">
      <c r="C3009" s="943" t="s">
        <v>9011</v>
      </c>
      <c r="D3009" s="325" t="s">
        <v>9013</v>
      </c>
      <c r="E3009" s="318"/>
      <c r="F3009" s="325"/>
      <c r="G3009" s="850">
        <f>F$3451</f>
        <v>1.6</v>
      </c>
      <c r="H3009" s="850">
        <f>G$3451</f>
        <v>15</v>
      </c>
      <c r="I3009" s="10">
        <f>N$3451/1000000</f>
        <v>0.15</v>
      </c>
      <c r="J3009" s="10">
        <f>W$3451</f>
        <v>0.2</v>
      </c>
      <c r="K3009" s="10">
        <f>Y$3451</f>
        <v>2.8109028960817715</v>
      </c>
      <c r="L3009" s="10"/>
      <c r="M3009" s="295" t="str">
        <f>I$3451</f>
        <v>1uA VHC4051, no external diode or spdt (1uA max leakage @ 85C)</v>
      </c>
      <c r="N3009" s="15">
        <f>AI$3451</f>
        <v>150</v>
      </c>
      <c r="P3009" s="851">
        <f>S$3451</f>
        <v>3.0831675042589435</v>
      </c>
      <c r="Q3009" s="10">
        <f>T$3451</f>
        <v>0.30985444633730852</v>
      </c>
      <c r="R3009" s="295"/>
      <c r="S3009" s="472" t="str">
        <f t="shared" ref="S3009:S3010" si="149">S$2992</f>
        <v>Mvm_Inv - (Main Voltage Monitor, Inverter configuration via Rg series resistor, 16bit a/d can use this while dc/dc conversion is handled by uProcessor)</v>
      </c>
      <c r="T3009" s="313"/>
      <c r="U3009" s="822"/>
      <c r="V3009" s="823"/>
      <c r="W3009" s="295"/>
      <c r="X3009" s="295"/>
      <c r="Y3009" s="295"/>
      <c r="Z3009" s="295"/>
      <c r="AA3009" s="295"/>
      <c r="AB3009" s="295"/>
    </row>
    <row r="3010" spans="3:28" x14ac:dyDescent="0.35">
      <c r="C3010" s="943" t="s">
        <v>9011</v>
      </c>
      <c r="D3010" s="325" t="s">
        <v>9504</v>
      </c>
      <c r="E3010" s="318"/>
      <c r="F3010" s="325"/>
      <c r="G3010" s="850">
        <f>F$3451</f>
        <v>1.6</v>
      </c>
      <c r="H3010" s="850">
        <f>G$3451</f>
        <v>15</v>
      </c>
      <c r="I3010" s="10">
        <f>N$3451/1000000</f>
        <v>0.15</v>
      </c>
      <c r="J3010" s="10">
        <f>W$3451</f>
        <v>0.2</v>
      </c>
      <c r="K3010" s="10">
        <f>Y$3451</f>
        <v>2.8109028960817715</v>
      </c>
      <c r="L3010" s="10"/>
      <c r="M3010" s="295" t="str">
        <f>I$3451</f>
        <v>1uA VHC4051, no external diode or spdt (1uA max leakage @ 85C)</v>
      </c>
      <c r="N3010" s="15">
        <f>AI$3451</f>
        <v>150</v>
      </c>
      <c r="P3010" s="851">
        <f>S$3451</f>
        <v>3.0831675042589435</v>
      </c>
      <c r="Q3010" s="10">
        <f>T$3451</f>
        <v>0.30985444633730852</v>
      </c>
      <c r="R3010" s="295"/>
      <c r="S3010" s="472" t="str">
        <f t="shared" si="149"/>
        <v>Mvm_Inv - (Main Voltage Monitor, Inverter configuration via Rg series resistor, 16bit a/d can use this while dc/dc conversion is handled by uProcessor)</v>
      </c>
      <c r="T3010" s="313"/>
      <c r="U3010" s="822"/>
      <c r="V3010" s="823"/>
      <c r="W3010" s="295"/>
      <c r="X3010" s="295"/>
      <c r="Y3010" s="295"/>
      <c r="Z3010" s="295"/>
      <c r="AA3010" s="295"/>
      <c r="AB3010" s="295"/>
    </row>
    <row r="3011" spans="3:28" x14ac:dyDescent="0.35">
      <c r="C3011" s="943"/>
      <c r="D3011" s="325"/>
      <c r="E3011" s="318"/>
      <c r="F3011" s="325"/>
      <c r="G3011" s="850"/>
      <c r="H3011" s="850"/>
      <c r="I3011" s="10"/>
      <c r="J3011" s="10"/>
      <c r="K3011" s="10"/>
      <c r="L3011" s="10"/>
      <c r="P3011" s="851"/>
      <c r="Q3011" s="10"/>
      <c r="R3011" s="295"/>
      <c r="S3011" s="472"/>
      <c r="T3011" s="313"/>
      <c r="U3011" s="822"/>
      <c r="V3011" s="823"/>
      <c r="W3011" s="295"/>
      <c r="X3011" s="295"/>
      <c r="Y3011" s="295"/>
      <c r="Z3011" s="295"/>
      <c r="AA3011" s="295"/>
      <c r="AB3011" s="295"/>
    </row>
    <row r="3012" spans="3:28" x14ac:dyDescent="0.35">
      <c r="C3012" s="943" t="s">
        <v>9012</v>
      </c>
      <c r="D3012" s="325" t="s">
        <v>9186</v>
      </c>
      <c r="E3012" s="318"/>
      <c r="F3012" s="325"/>
      <c r="G3012" s="850">
        <f>F$3446</f>
        <v>-10</v>
      </c>
      <c r="H3012" s="850">
        <f>G$3446</f>
        <v>135</v>
      </c>
      <c r="I3012" s="10">
        <f>N$3446/1000000</f>
        <v>1.5</v>
      </c>
      <c r="J3012" s="10">
        <f>W$3446</f>
        <v>0.02</v>
      </c>
      <c r="K3012" s="10">
        <f>Y$3446</f>
        <v>2.8109028960817715</v>
      </c>
      <c r="L3012" s="10"/>
      <c r="M3012" s="295" t="str">
        <f>I$3446</f>
        <v>1uA VHC4051, no external diode or spdt (1uA max leakage @ 85C)</v>
      </c>
      <c r="N3012" s="15">
        <f>AI$3446</f>
        <v>1500</v>
      </c>
      <c r="P3012" s="851">
        <f>S$3446</f>
        <v>3.0970295144804085</v>
      </c>
      <c r="Q3012" s="10">
        <f>T$3446</f>
        <v>0.10095289352640524</v>
      </c>
      <c r="R3012" s="826"/>
      <c r="S3012" s="472" t="str">
        <f>S$2992</f>
        <v>Mvm_Inv - (Main Voltage Monitor, Inverter configuration via Rg series resistor, 16bit a/d can use this while dc/dc conversion is handled by uProcessor)</v>
      </c>
      <c r="T3012" s="313"/>
      <c r="U3012" s="822"/>
      <c r="V3012" s="823"/>
      <c r="W3012" s="295"/>
      <c r="X3012" s="295"/>
      <c r="Y3012" s="295"/>
      <c r="Z3012" s="295"/>
      <c r="AA3012" s="295"/>
      <c r="AB3012" s="295"/>
    </row>
    <row r="3013" spans="3:28" x14ac:dyDescent="0.35">
      <c r="C3013" s="943" t="s">
        <v>9012</v>
      </c>
      <c r="D3013" s="325" t="s">
        <v>9184</v>
      </c>
      <c r="E3013" s="318"/>
      <c r="F3013" s="325"/>
      <c r="G3013" s="850">
        <f>F$3450</f>
        <v>-0.2</v>
      </c>
      <c r="H3013" s="850">
        <f>G$3450</f>
        <v>28</v>
      </c>
      <c r="I3013" s="10">
        <f>N$3450/1000000</f>
        <v>0.33</v>
      </c>
      <c r="J3013" s="10">
        <f>W$3450</f>
        <v>9.0909090909090912E-2</v>
      </c>
      <c r="K3013" s="10">
        <f>Y$3450</f>
        <v>2.8109028960817715</v>
      </c>
      <c r="L3013" s="10"/>
      <c r="M3013" s="295" t="str">
        <f>I$3450</f>
        <v>1uA VHC4051, no external diode or spdt (1uA max leakage @ 85C)</v>
      </c>
      <c r="N3013" s="15">
        <f>AI$3450</f>
        <v>330</v>
      </c>
      <c r="P3013" s="851">
        <f t="shared" ref="P3013:Q3015" si="150">S$3450</f>
        <v>3.1143111468174074</v>
      </c>
      <c r="Q3013" s="10">
        <f t="shared" si="150"/>
        <v>0.45938380827009428</v>
      </c>
      <c r="R3013" s="826"/>
      <c r="S3013" s="472" t="str">
        <f>S$2992</f>
        <v>Mvm_Inv - (Main Voltage Monitor, Inverter configuration via Rg series resistor, 16bit a/d can use this while dc/dc conversion is handled by uProcessor)</v>
      </c>
      <c r="T3013" s="313"/>
      <c r="U3013" s="822"/>
      <c r="V3013" s="823"/>
      <c r="W3013" s="295"/>
      <c r="X3013" s="295"/>
      <c r="Y3013" s="295"/>
      <c r="Z3013" s="295"/>
      <c r="AA3013" s="295"/>
      <c r="AB3013" s="295"/>
    </row>
    <row r="3014" spans="3:28" x14ac:dyDescent="0.35">
      <c r="C3014" s="943" t="s">
        <v>9012</v>
      </c>
      <c r="D3014" s="325" t="s">
        <v>9505</v>
      </c>
      <c r="E3014" s="318"/>
      <c r="F3014" s="325"/>
      <c r="G3014" s="850">
        <f t="shared" ref="G3014:H3014" si="151">F$3450</f>
        <v>-0.2</v>
      </c>
      <c r="H3014" s="850">
        <f t="shared" si="151"/>
        <v>28</v>
      </c>
      <c r="I3014" s="10">
        <f>N$3450/1000000</f>
        <v>0.33</v>
      </c>
      <c r="J3014" s="10">
        <f>W$3450</f>
        <v>9.0909090909090912E-2</v>
      </c>
      <c r="K3014" s="10">
        <f>Y$3450</f>
        <v>2.8109028960817715</v>
      </c>
      <c r="L3014" s="10"/>
      <c r="M3014" s="295" t="str">
        <f>I$3450</f>
        <v>1uA VHC4051, no external diode or spdt (1uA max leakage @ 85C)</v>
      </c>
      <c r="N3014" s="15">
        <f>AI$3450</f>
        <v>330</v>
      </c>
      <c r="P3014" s="851">
        <f t="shared" si="150"/>
        <v>3.1143111468174074</v>
      </c>
      <c r="Q3014" s="10">
        <f t="shared" si="150"/>
        <v>0.45938380827009428</v>
      </c>
      <c r="R3014" s="826"/>
      <c r="S3014" s="472" t="str">
        <f>S$2992</f>
        <v>Mvm_Inv - (Main Voltage Monitor, Inverter configuration via Rg series resistor, 16bit a/d can use this while dc/dc conversion is handled by uProcessor)</v>
      </c>
      <c r="T3014" s="313"/>
      <c r="U3014" s="822"/>
      <c r="V3014" s="823"/>
      <c r="W3014" s="295"/>
      <c r="X3014" s="295"/>
      <c r="Y3014" s="295"/>
      <c r="Z3014" s="295"/>
      <c r="AA3014" s="295"/>
      <c r="AB3014" s="295"/>
    </row>
    <row r="3015" spans="3:28" x14ac:dyDescent="0.35">
      <c r="C3015" s="943" t="s">
        <v>9012</v>
      </c>
      <c r="D3015" s="325" t="s">
        <v>9507</v>
      </c>
      <c r="E3015" s="318"/>
      <c r="F3015" s="325"/>
      <c r="G3015" s="898">
        <f>F3457</f>
        <v>-0.03</v>
      </c>
      <c r="H3015" s="850">
        <f>G3457</f>
        <v>0.03</v>
      </c>
      <c r="I3015" s="10">
        <f>N$3458/1000000</f>
        <v>0.01</v>
      </c>
      <c r="J3015" s="10">
        <f>W$3458</f>
        <v>3</v>
      </c>
      <c r="K3015" s="10">
        <f>Y$3458</f>
        <v>0.22020531964535695</v>
      </c>
      <c r="L3015" s="10"/>
      <c r="M3015" s="295" t="str">
        <f>I$3450</f>
        <v>1uA VHC4051, no external diode or spdt (1uA max leakage @ 85C)</v>
      </c>
      <c r="N3015" s="15">
        <f>AI$3450</f>
        <v>330</v>
      </c>
      <c r="P3015" s="851">
        <f t="shared" si="150"/>
        <v>3.1143111468174074</v>
      </c>
      <c r="Q3015" s="10">
        <f t="shared" si="150"/>
        <v>0.45938380827009428</v>
      </c>
      <c r="R3015" s="826"/>
      <c r="S3015" s="472" t="str">
        <f>S$2992</f>
        <v>Mvm_Inv - (Main Voltage Monitor, Inverter configuration via Rg series resistor, 16bit a/d can use this while dc/dc conversion is handled by uProcessor)</v>
      </c>
      <c r="T3015" s="313"/>
      <c r="U3015" s="822"/>
      <c r="V3015" s="823"/>
      <c r="W3015" s="295"/>
      <c r="X3015" s="295"/>
      <c r="Y3015" s="295"/>
      <c r="Z3015" s="295"/>
      <c r="AA3015" s="295"/>
      <c r="AB3015" s="295"/>
    </row>
    <row r="3016" spans="3:28" x14ac:dyDescent="0.35">
      <c r="C3016" s="943"/>
      <c r="D3016" s="325"/>
      <c r="E3016" s="318"/>
      <c r="F3016" s="325"/>
      <c r="G3016" s="850"/>
      <c r="H3016" s="850"/>
      <c r="I3016" s="10"/>
      <c r="J3016" s="10"/>
      <c r="K3016" s="10"/>
      <c r="L3016" s="10"/>
      <c r="M3016" s="295"/>
      <c r="N3016" s="15"/>
      <c r="P3016" s="851"/>
      <c r="Q3016" s="10"/>
      <c r="R3016" s="826"/>
      <c r="S3016" s="472"/>
      <c r="T3016" s="313"/>
      <c r="U3016" s="822"/>
      <c r="V3016" s="823"/>
      <c r="W3016" s="295"/>
      <c r="X3016" s="295"/>
      <c r="Y3016" s="295"/>
      <c r="Z3016" s="295"/>
      <c r="AA3016" s="295"/>
      <c r="AB3016" s="295"/>
    </row>
    <row r="3017" spans="3:28" x14ac:dyDescent="0.35">
      <c r="C3017" s="943"/>
      <c r="D3017" s="494" t="s">
        <v>9488</v>
      </c>
      <c r="E3017" s="318"/>
      <c r="F3017" s="325"/>
      <c r="G3017" s="850"/>
      <c r="H3017" s="850"/>
      <c r="I3017" s="10"/>
      <c r="J3017" s="10"/>
      <c r="K3017" s="10"/>
      <c r="L3017" s="10"/>
      <c r="M3017" s="295"/>
      <c r="N3017" s="15"/>
      <c r="P3017" s="851"/>
      <c r="Q3017" s="10"/>
      <c r="R3017" s="826"/>
      <c r="S3017" s="472"/>
      <c r="T3017" s="313"/>
      <c r="U3017" s="822"/>
      <c r="V3017" s="823"/>
      <c r="W3017" s="295"/>
      <c r="X3017" s="295"/>
      <c r="Y3017" s="295"/>
      <c r="Z3017" s="295"/>
      <c r="AA3017" s="295"/>
      <c r="AB3017" s="295"/>
    </row>
    <row r="3018" spans="3:28" ht="13.5" customHeight="1" x14ac:dyDescent="0.35">
      <c r="C3018" s="943" t="s">
        <v>9010</v>
      </c>
      <c r="D3018" s="942" t="s">
        <v>9486</v>
      </c>
      <c r="G3018" s="902">
        <f>F$3440</f>
        <v>-400</v>
      </c>
      <c r="H3018" s="902">
        <f>G$3440</f>
        <v>20</v>
      </c>
      <c r="I3018" s="10">
        <f>N$3440/1000000</f>
        <v>6</v>
      </c>
      <c r="J3018" s="10">
        <f>W$3440</f>
        <v>5.0000000000000001E-3</v>
      </c>
      <c r="K3018" s="10">
        <f>Y$3440</f>
        <v>0.22</v>
      </c>
      <c r="L3018" s="10"/>
      <c r="M3018" s="295" t="str">
        <f>I$3440</f>
        <v>20nA NLAST spdt &amp; 8:1 mux (10nA max leakage @ 75C)</v>
      </c>
      <c r="N3018" s="15">
        <f>AI$3440</f>
        <v>120</v>
      </c>
      <c r="P3018" s="851">
        <f>S$3440</f>
        <v>2.1968112500000001</v>
      </c>
      <c r="Q3018" s="10">
        <f>T$3440</f>
        <v>0.11909887500000002</v>
      </c>
      <c r="R3018" s="826"/>
      <c r="S3018" s="472" t="str">
        <f>S$2992</f>
        <v>Mvm_Inv - (Main Voltage Monitor, Inverter configuration via Rg series resistor, 16bit a/d can use this while dc/dc conversion is handled by uProcessor)</v>
      </c>
      <c r="T3018" s="472"/>
      <c r="U3018" s="472"/>
      <c r="V3018" s="472"/>
      <c r="W3018" s="472"/>
      <c r="X3018" s="472"/>
      <c r="Y3018" s="824"/>
      <c r="Z3018" s="472"/>
      <c r="AA3018" s="824"/>
      <c r="AB3018" s="313"/>
    </row>
    <row r="3019" spans="3:28" ht="13.5" customHeight="1" x14ac:dyDescent="0.35">
      <c r="C3019" s="943" t="s">
        <v>9010</v>
      </c>
      <c r="D3019" s="942" t="s">
        <v>9487</v>
      </c>
      <c r="G3019" s="902">
        <f>F$3440</f>
        <v>-400</v>
      </c>
      <c r="H3019" s="902">
        <f>G$3440</f>
        <v>20</v>
      </c>
      <c r="I3019" s="10">
        <f>N$3440/1000000</f>
        <v>6</v>
      </c>
      <c r="J3019" s="10">
        <f>W$3440</f>
        <v>5.0000000000000001E-3</v>
      </c>
      <c r="K3019" s="10">
        <f>Y$3440</f>
        <v>0.22</v>
      </c>
      <c r="L3019" s="10"/>
      <c r="M3019" s="295" t="str">
        <f>I$3440</f>
        <v>20nA NLAST spdt &amp; 8:1 mux (10nA max leakage @ 75C)</v>
      </c>
      <c r="N3019" s="15">
        <f>AI$3440</f>
        <v>120</v>
      </c>
      <c r="P3019" s="851">
        <f>S$3440</f>
        <v>2.1968112500000001</v>
      </c>
      <c r="Q3019" s="10">
        <f>T$3440</f>
        <v>0.11909887500000002</v>
      </c>
      <c r="R3019" s="826"/>
      <c r="S3019" s="472" t="str">
        <f>S$2992</f>
        <v>Mvm_Inv - (Main Voltage Monitor, Inverter configuration via Rg series resistor, 16bit a/d can use this while dc/dc conversion is handled by uProcessor)</v>
      </c>
      <c r="T3019" s="472"/>
      <c r="U3019" s="472"/>
      <c r="V3019" s="472"/>
      <c r="W3019" s="472"/>
      <c r="X3019" s="472"/>
      <c r="Y3019" s="824"/>
      <c r="Z3019" s="472"/>
      <c r="AA3019" s="824"/>
      <c r="AB3019" s="313"/>
    </row>
    <row r="3020" spans="3:28" ht="13.5" customHeight="1" x14ac:dyDescent="0.35">
      <c r="C3020" s="943"/>
      <c r="D3020" s="494"/>
      <c r="G3020" s="891"/>
      <c r="H3020" s="891"/>
      <c r="I3020" s="331"/>
      <c r="J3020" s="821"/>
      <c r="K3020" s="821"/>
      <c r="L3020" s="318"/>
      <c r="M3020" s="295"/>
      <c r="N3020" s="15"/>
      <c r="P3020" s="821"/>
      <c r="Q3020" s="821"/>
      <c r="R3020" s="1"/>
      <c r="S3020" s="826"/>
      <c r="T3020" s="472"/>
      <c r="U3020" s="472"/>
      <c r="V3020" s="472"/>
      <c r="W3020" s="472"/>
      <c r="X3020" s="472"/>
      <c r="Y3020" s="824"/>
      <c r="Z3020" s="472"/>
      <c r="AA3020" s="824"/>
      <c r="AB3020" s="313"/>
    </row>
    <row r="3021" spans="3:28" x14ac:dyDescent="0.35">
      <c r="C3021" s="943"/>
      <c r="D3021" s="494" t="s">
        <v>9489</v>
      </c>
      <c r="E3021" s="318"/>
      <c r="F3021" s="325"/>
      <c r="G3021" s="902"/>
      <c r="H3021" s="902"/>
      <c r="I3021" s="10"/>
      <c r="J3021" s="10"/>
      <c r="K3021" s="10"/>
      <c r="L3021" s="10"/>
      <c r="M3021" s="295"/>
      <c r="N3021" s="15"/>
      <c r="P3021" s="851"/>
      <c r="Q3021" s="10"/>
      <c r="R3021" s="826"/>
      <c r="S3021" s="472"/>
      <c r="T3021" s="313"/>
      <c r="U3021" s="822"/>
      <c r="V3021" s="823"/>
      <c r="W3021" s="295"/>
      <c r="X3021" s="295"/>
      <c r="Y3021" s="295"/>
      <c r="Z3021" s="295"/>
      <c r="AA3021" s="295"/>
      <c r="AB3021" s="295"/>
    </row>
    <row r="3022" spans="3:28" x14ac:dyDescent="0.35">
      <c r="C3022" s="943" t="s">
        <v>9009</v>
      </c>
      <c r="D3022" s="942" t="s">
        <v>9493</v>
      </c>
      <c r="E3022" s="318"/>
      <c r="F3022" s="325"/>
      <c r="G3022" s="902">
        <f>F$3443</f>
        <v>-10</v>
      </c>
      <c r="H3022" s="902">
        <f>G$3443</f>
        <v>10</v>
      </c>
      <c r="I3022" s="10">
        <f>N$3443/1000000</f>
        <v>0.22</v>
      </c>
      <c r="J3022" s="10">
        <f>W$3443</f>
        <v>0.13636363636363635</v>
      </c>
      <c r="K3022" s="10">
        <f>Y$3443</f>
        <v>1.5429740269809948</v>
      </c>
      <c r="L3022" s="10"/>
      <c r="M3022" s="295" t="str">
        <f>I$3443</f>
        <v>20nA NLAST spdt &amp; 8:1 mux (10nA max leakage @ 75C)</v>
      </c>
      <c r="N3022" s="15">
        <f>AI$3443</f>
        <v>4.4000000000000004</v>
      </c>
      <c r="P3022" s="851">
        <f>S$3443</f>
        <v>3.114602591178766</v>
      </c>
      <c r="Q3022" s="10">
        <f>T$3443</f>
        <v>0.35829178832349506</v>
      </c>
      <c r="R3022" s="826"/>
      <c r="S3022" s="472" t="str">
        <f>S$3018</f>
        <v>Mvm_Inv - (Main Voltage Monitor, Inverter configuration via Rg series resistor, 16bit a/d can use this while dc/dc conversion is handled by uProcessor)</v>
      </c>
      <c r="T3022" s="313"/>
      <c r="U3022" s="822"/>
      <c r="V3022" s="823"/>
      <c r="W3022" s="295"/>
      <c r="X3022" s="295"/>
      <c r="Y3022" s="295"/>
      <c r="Z3022" s="295"/>
      <c r="AA3022" s="295"/>
      <c r="AB3022" s="295"/>
    </row>
    <row r="3024" spans="3:28" x14ac:dyDescent="0.35">
      <c r="C3024" s="943" t="s">
        <v>9009</v>
      </c>
      <c r="D3024" s="325" t="s">
        <v>9490</v>
      </c>
      <c r="E3024" s="318"/>
      <c r="F3024" s="325"/>
      <c r="G3024" s="902">
        <f>F$3442</f>
        <v>-5</v>
      </c>
      <c r="H3024" s="902">
        <f>G$3442</f>
        <v>68</v>
      </c>
      <c r="I3024" s="10">
        <f>N$3442/1000000</f>
        <v>1</v>
      </c>
      <c r="J3024" s="10">
        <f>W$3442</f>
        <v>0.03</v>
      </c>
      <c r="K3024" s="10">
        <f>Y$3442</f>
        <v>2.8109028960817715</v>
      </c>
      <c r="L3024" s="10"/>
      <c r="M3024" s="295" t="str">
        <f>I$3442</f>
        <v>20nA NLAST spdt &amp; 8:1 mux (10nA max leakage @ 75C)</v>
      </c>
      <c r="N3024" s="15">
        <f>AI$3442</f>
        <v>20</v>
      </c>
      <c r="P3024" s="851">
        <f>S$3442</f>
        <v>3.0754121805792161</v>
      </c>
      <c r="Q3024" s="10">
        <f>T$3442</f>
        <v>0.79768353534923286</v>
      </c>
      <c r="R3024" s="826"/>
      <c r="S3024" s="472" t="str">
        <f>S$3018</f>
        <v>Mvm_Inv - (Main Voltage Monitor, Inverter configuration via Rg series resistor, 16bit a/d can use this while dc/dc conversion is handled by uProcessor)</v>
      </c>
      <c r="T3024" s="313"/>
      <c r="U3024" s="822"/>
      <c r="V3024" s="823"/>
      <c r="W3024" s="295"/>
      <c r="X3024" s="295"/>
      <c r="Y3024" s="295"/>
      <c r="Z3024" s="295"/>
      <c r="AA3024" s="295"/>
      <c r="AB3024" s="295"/>
    </row>
    <row r="3025" spans="2:28" x14ac:dyDescent="0.35">
      <c r="C3025" s="943" t="s">
        <v>9009</v>
      </c>
      <c r="D3025" s="325" t="s">
        <v>9491</v>
      </c>
      <c r="E3025" s="318"/>
      <c r="F3025" s="325"/>
      <c r="G3025" s="902">
        <f>F$3443</f>
        <v>-10</v>
      </c>
      <c r="H3025" s="902">
        <f>G$3443</f>
        <v>10</v>
      </c>
      <c r="I3025" s="10">
        <f>N$3443/1000000</f>
        <v>0.22</v>
      </c>
      <c r="J3025" s="10">
        <f>W$3443</f>
        <v>0.13636363636363635</v>
      </c>
      <c r="K3025" s="10">
        <f>Y$3443</f>
        <v>1.5429740269809948</v>
      </c>
      <c r="L3025" s="10"/>
      <c r="M3025" s="295" t="str">
        <f>I$3443</f>
        <v>20nA NLAST spdt &amp; 8:1 mux (10nA max leakage @ 75C)</v>
      </c>
      <c r="N3025" s="15">
        <f>AI$3443</f>
        <v>4.4000000000000004</v>
      </c>
      <c r="P3025" s="851">
        <f>S$3443</f>
        <v>3.114602591178766</v>
      </c>
      <c r="Q3025" s="10">
        <f>T$3443</f>
        <v>0.35829178832349506</v>
      </c>
      <c r="R3025" s="826"/>
      <c r="S3025" s="472" t="str">
        <f>S$3018</f>
        <v>Mvm_Inv - (Main Voltage Monitor, Inverter configuration via Rg series resistor, 16bit a/d can use this while dc/dc conversion is handled by uProcessor)</v>
      </c>
      <c r="T3025" s="313"/>
      <c r="U3025" s="822"/>
      <c r="V3025" s="823"/>
      <c r="W3025" s="295"/>
      <c r="X3025" s="295"/>
      <c r="Y3025" s="295"/>
      <c r="Z3025" s="295"/>
      <c r="AA3025" s="295"/>
      <c r="AB3025" s="295"/>
    </row>
    <row r="3026" spans="2:28" x14ac:dyDescent="0.35">
      <c r="C3026" s="943"/>
      <c r="D3026" s="325"/>
      <c r="E3026" s="318"/>
      <c r="F3026" s="325"/>
      <c r="G3026" s="903"/>
      <c r="H3026" s="903"/>
      <c r="I3026" s="895"/>
      <c r="J3026" s="898"/>
      <c r="K3026" s="898"/>
      <c r="L3026" s="896"/>
      <c r="M3026" s="899"/>
      <c r="N3026" s="895"/>
      <c r="O3026" s="177"/>
      <c r="P3026" s="895"/>
      <c r="Q3026" s="895"/>
      <c r="R3026" s="897"/>
      <c r="S3026" s="900"/>
      <c r="T3026" s="313"/>
      <c r="U3026" s="822"/>
      <c r="V3026" s="823"/>
      <c r="W3026" s="295"/>
      <c r="X3026" s="295"/>
      <c r="Y3026" s="295"/>
      <c r="Z3026" s="295"/>
      <c r="AA3026" s="295"/>
      <c r="AB3026" s="295"/>
    </row>
    <row r="3027" spans="2:28" x14ac:dyDescent="0.35">
      <c r="C3027" s="943" t="s">
        <v>9009</v>
      </c>
      <c r="D3027" s="325" t="s">
        <v>9492</v>
      </c>
      <c r="E3027" s="318"/>
      <c r="F3027" s="325"/>
      <c r="G3027" s="902">
        <f t="shared" ref="G3027:H3027" si="152">F$3443</f>
        <v>-10</v>
      </c>
      <c r="H3027" s="902">
        <f t="shared" si="152"/>
        <v>10</v>
      </c>
      <c r="I3027" s="10">
        <f t="shared" ref="I3027:I3028" si="153">N$3443/1000000</f>
        <v>0.22</v>
      </c>
      <c r="J3027" s="10">
        <f t="shared" ref="J3027:J3028" si="154">W$3443</f>
        <v>0.13636363636363635</v>
      </c>
      <c r="K3027" s="10">
        <f t="shared" ref="K3027:K3028" si="155">Y$3443</f>
        <v>1.5429740269809948</v>
      </c>
      <c r="L3027" s="10"/>
      <c r="M3027" s="295" t="str">
        <f t="shared" ref="M3027:M3028" si="156">I$3443</f>
        <v>20nA NLAST spdt &amp; 8:1 mux (10nA max leakage @ 75C)</v>
      </c>
      <c r="N3027" s="15">
        <f t="shared" ref="N3027:N3028" si="157">AI$3443</f>
        <v>4.4000000000000004</v>
      </c>
      <c r="P3027" s="851">
        <f t="shared" ref="P3027:P3028" si="158">S$3443</f>
        <v>3.114602591178766</v>
      </c>
      <c r="Q3027" s="10">
        <f t="shared" ref="Q3027:Q3028" si="159">T$3443</f>
        <v>0.35829178832349506</v>
      </c>
      <c r="R3027" s="826"/>
      <c r="S3027" s="472" t="str">
        <f t="shared" ref="S3027:S3028" si="160">S$3018</f>
        <v>Mvm_Inv - (Main Voltage Monitor, Inverter configuration via Rg series resistor, 16bit a/d can use this while dc/dc conversion is handled by uProcessor)</v>
      </c>
      <c r="T3027" s="313"/>
      <c r="U3027" s="822"/>
      <c r="V3027" s="823"/>
      <c r="W3027" s="295"/>
      <c r="X3027" s="295"/>
      <c r="Y3027" s="295"/>
      <c r="Z3027" s="295"/>
      <c r="AA3027" s="295"/>
      <c r="AB3027" s="295"/>
    </row>
    <row r="3028" spans="2:28" x14ac:dyDescent="0.35">
      <c r="C3028" s="943" t="s">
        <v>9009</v>
      </c>
      <c r="D3028" s="325" t="s">
        <v>9492</v>
      </c>
      <c r="E3028" s="318"/>
      <c r="F3028" s="325"/>
      <c r="G3028" s="902">
        <f t="shared" ref="G3028:H3028" si="161">F$3443</f>
        <v>-10</v>
      </c>
      <c r="H3028" s="902">
        <f t="shared" si="161"/>
        <v>10</v>
      </c>
      <c r="I3028" s="10">
        <f t="shared" si="153"/>
        <v>0.22</v>
      </c>
      <c r="J3028" s="10">
        <f t="shared" si="154"/>
        <v>0.13636363636363635</v>
      </c>
      <c r="K3028" s="10">
        <f t="shared" si="155"/>
        <v>1.5429740269809948</v>
      </c>
      <c r="L3028" s="10"/>
      <c r="M3028" s="295" t="str">
        <f t="shared" si="156"/>
        <v>20nA NLAST spdt &amp; 8:1 mux (10nA max leakage @ 75C)</v>
      </c>
      <c r="N3028" s="15">
        <f t="shared" si="157"/>
        <v>4.4000000000000004</v>
      </c>
      <c r="P3028" s="851">
        <f t="shared" si="158"/>
        <v>3.114602591178766</v>
      </c>
      <c r="Q3028" s="10">
        <f t="shared" si="159"/>
        <v>0.35829178832349506</v>
      </c>
      <c r="R3028" s="826"/>
      <c r="S3028" s="472" t="str">
        <f t="shared" si="160"/>
        <v>Mvm_Inv - (Main Voltage Monitor, Inverter configuration via Rg series resistor, 16bit a/d can use this while dc/dc conversion is handled by uProcessor)</v>
      </c>
      <c r="T3028" s="313"/>
      <c r="U3028" s="822"/>
      <c r="V3028" s="823"/>
      <c r="W3028" s="295"/>
      <c r="X3028" s="295"/>
      <c r="Y3028" s="295"/>
      <c r="Z3028" s="295"/>
      <c r="AA3028" s="295"/>
      <c r="AB3028" s="295"/>
    </row>
    <row r="3029" spans="2:28" ht="13.5" customHeight="1" x14ac:dyDescent="0.35">
      <c r="G3029" s="132"/>
      <c r="H3029" s="155"/>
      <c r="I3029" s="155"/>
      <c r="J3029" s="413"/>
      <c r="K3029" s="155"/>
      <c r="L3029" s="155"/>
      <c r="M3029" s="155"/>
      <c r="N3029" s="1"/>
      <c r="R3029" s="73"/>
      <c r="S3029" s="1"/>
      <c r="T3029" s="313"/>
      <c r="U3029" s="1"/>
      <c r="W3029" s="313"/>
      <c r="X3029" s="1"/>
    </row>
    <row r="3030" spans="2:28" ht="13.5" customHeight="1" x14ac:dyDescent="0.35">
      <c r="B3030" s="83" t="s">
        <v>7594</v>
      </c>
      <c r="G3030" s="132"/>
      <c r="H3030" s="155"/>
      <c r="I3030" s="155"/>
      <c r="J3030" s="413"/>
      <c r="K3030" s="155"/>
      <c r="L3030" s="155"/>
      <c r="M3030" s="155"/>
      <c r="N3030" s="1"/>
      <c r="R3030" s="73"/>
      <c r="S3030" s="1"/>
      <c r="T3030" s="313"/>
      <c r="U3030" s="1"/>
      <c r="W3030" s="313"/>
      <c r="X3030" s="1"/>
    </row>
    <row r="3031" spans="2:28" ht="13.5" customHeight="1" x14ac:dyDescent="0.35">
      <c r="D3031" s="325" t="s">
        <v>6410</v>
      </c>
      <c r="G3031" s="132"/>
      <c r="H3031" s="155"/>
      <c r="I3031" s="155"/>
      <c r="J3031" s="413"/>
      <c r="K3031" s="155"/>
      <c r="L3031" s="155"/>
      <c r="M3031" s="155"/>
      <c r="N3031" s="1"/>
      <c r="R3031" s="73"/>
      <c r="S3031" s="1"/>
      <c r="T3031" s="313"/>
      <c r="U3031" s="1"/>
      <c r="W3031" s="313"/>
      <c r="X3031" s="1"/>
    </row>
    <row r="3032" spans="2:28" ht="13.5" customHeight="1" x14ac:dyDescent="0.35">
      <c r="D3032" s="325" t="s">
        <v>7655</v>
      </c>
      <c r="G3032" s="132"/>
      <c r="H3032" s="155"/>
      <c r="I3032" s="155"/>
      <c r="J3032" s="413"/>
      <c r="K3032" s="155"/>
      <c r="L3032" s="155"/>
      <c r="M3032" s="155"/>
      <c r="N3032" s="1"/>
      <c r="R3032" s="73"/>
      <c r="S3032" s="1"/>
      <c r="T3032" s="313"/>
      <c r="U3032" s="1"/>
      <c r="W3032" s="313"/>
      <c r="X3032" s="1"/>
    </row>
    <row r="3033" spans="2:28" ht="13.5" customHeight="1" x14ac:dyDescent="0.35">
      <c r="G3033" s="132"/>
      <c r="H3033" s="155"/>
      <c r="I3033" s="155"/>
      <c r="J3033" s="413"/>
      <c r="K3033" s="155"/>
      <c r="L3033" s="155"/>
      <c r="M3033" s="155"/>
      <c r="N3033" s="1"/>
      <c r="R3033" s="73"/>
      <c r="S3033" s="1"/>
      <c r="T3033" s="313"/>
      <c r="U3033" s="1"/>
      <c r="W3033" s="313"/>
      <c r="X3033" s="1"/>
    </row>
    <row r="3034" spans="2:28" ht="13.5" customHeight="1" x14ac:dyDescent="0.35">
      <c r="B3034" s="83" t="s">
        <v>8870</v>
      </c>
      <c r="D3034" s="564"/>
      <c r="G3034" s="132"/>
      <c r="H3034" s="155"/>
      <c r="I3034" s="155"/>
      <c r="J3034" s="413"/>
      <c r="K3034" s="155"/>
      <c r="L3034" s="155"/>
      <c r="M3034" s="155"/>
      <c r="N3034" s="1"/>
      <c r="R3034" s="73"/>
      <c r="S3034" s="1"/>
      <c r="T3034" s="313"/>
      <c r="U3034" s="1"/>
      <c r="W3034" s="313"/>
      <c r="X3034" s="1"/>
    </row>
    <row r="3035" spans="2:28" ht="13.5" customHeight="1" x14ac:dyDescent="0.35">
      <c r="D3035" s="725"/>
      <c r="G3035" s="132"/>
      <c r="H3035" s="155"/>
      <c r="I3035" s="155"/>
      <c r="J3035" s="413"/>
      <c r="K3035" s="155"/>
      <c r="L3035" s="155"/>
      <c r="M3035" s="155"/>
      <c r="N3035" s="1"/>
      <c r="R3035" s="73"/>
      <c r="S3035" s="1"/>
      <c r="T3035" s="313"/>
      <c r="U3035" s="1"/>
      <c r="W3035" s="313"/>
      <c r="X3035" s="1"/>
    </row>
    <row r="3036" spans="2:28" ht="13.5" customHeight="1" x14ac:dyDescent="0.35">
      <c r="D3036" s="726" t="s">
        <v>6455</v>
      </c>
      <c r="E3036" s="128"/>
      <c r="F3036" s="128"/>
      <c r="G3036" s="325" t="s">
        <v>5959</v>
      </c>
      <c r="H3036" s="325"/>
      <c r="I3036" s="325"/>
      <c r="J3036" s="563"/>
      <c r="K3036" s="325"/>
      <c r="L3036" s="325"/>
      <c r="M3036" s="325"/>
      <c r="N3036" s="169"/>
      <c r="R3036" s="73"/>
      <c r="S3036" s="1"/>
      <c r="T3036" s="313"/>
      <c r="U3036" s="1"/>
      <c r="W3036" s="313"/>
      <c r="X3036" s="1"/>
    </row>
    <row r="3037" spans="2:28" ht="13.5" customHeight="1" x14ac:dyDescent="0.35">
      <c r="D3037" s="726"/>
      <c r="E3037" s="128"/>
      <c r="F3037" s="128"/>
      <c r="G3037" s="325" t="s">
        <v>5956</v>
      </c>
      <c r="H3037" s="325"/>
      <c r="I3037" s="325"/>
      <c r="J3037" s="563"/>
      <c r="K3037" s="325"/>
      <c r="L3037" s="325"/>
      <c r="M3037" s="325"/>
      <c r="N3037" s="169"/>
      <c r="R3037" s="73"/>
      <c r="S3037" s="1"/>
      <c r="T3037" s="313"/>
      <c r="U3037" s="1"/>
      <c r="W3037" s="313"/>
      <c r="X3037" s="1"/>
    </row>
    <row r="3038" spans="2:28" ht="13.5" customHeight="1" x14ac:dyDescent="0.35">
      <c r="D3038" s="726"/>
      <c r="E3038" s="128"/>
      <c r="F3038" s="128"/>
      <c r="G3038" s="325" t="s">
        <v>5957</v>
      </c>
      <c r="H3038" s="325"/>
      <c r="I3038" s="325"/>
      <c r="J3038" s="563"/>
      <c r="K3038" s="325"/>
      <c r="L3038" s="325"/>
      <c r="M3038" s="325"/>
      <c r="N3038" s="169"/>
      <c r="R3038" s="73"/>
      <c r="S3038" s="1"/>
      <c r="T3038" s="313"/>
      <c r="U3038" s="1"/>
      <c r="W3038" s="313"/>
      <c r="X3038" s="1"/>
    </row>
    <row r="3039" spans="2:28" ht="13.5" customHeight="1" x14ac:dyDescent="0.35">
      <c r="D3039" s="726"/>
      <c r="E3039" s="128"/>
      <c r="F3039" s="128"/>
      <c r="G3039" s="325" t="s">
        <v>5958</v>
      </c>
      <c r="H3039" s="325"/>
      <c r="I3039" s="325"/>
      <c r="J3039" s="563"/>
      <c r="K3039" s="325"/>
      <c r="L3039" s="325"/>
      <c r="M3039" s="325"/>
      <c r="N3039" s="169"/>
      <c r="R3039" s="73"/>
      <c r="S3039" s="1"/>
      <c r="T3039" s="313"/>
      <c r="U3039" s="1"/>
      <c r="W3039" s="313"/>
      <c r="X3039" s="1"/>
    </row>
    <row r="3040" spans="2:28" ht="13.5" customHeight="1" x14ac:dyDescent="0.35">
      <c r="D3040" s="726"/>
      <c r="E3040" s="128"/>
      <c r="F3040" s="128"/>
      <c r="G3040" s="325"/>
      <c r="H3040" s="325"/>
      <c r="I3040" s="325"/>
      <c r="J3040" s="563"/>
      <c r="K3040" s="325"/>
      <c r="L3040" s="325"/>
      <c r="M3040" s="325"/>
      <c r="N3040" s="169"/>
      <c r="R3040" s="73"/>
      <c r="S3040" s="1"/>
      <c r="T3040" s="313"/>
      <c r="U3040" s="1"/>
      <c r="W3040" s="313"/>
      <c r="X3040" s="1"/>
    </row>
    <row r="3041" spans="2:24" ht="13.5" customHeight="1" x14ac:dyDescent="0.35">
      <c r="D3041" s="726" t="s">
        <v>6456</v>
      </c>
      <c r="E3041" s="128"/>
      <c r="F3041" s="128"/>
      <c r="G3041" s="325" t="s">
        <v>5960</v>
      </c>
      <c r="H3041" s="325"/>
      <c r="I3041" s="325"/>
      <c r="J3041" s="563"/>
      <c r="K3041" s="325"/>
      <c r="L3041" s="325"/>
      <c r="M3041" s="325"/>
      <c r="N3041" s="169"/>
      <c r="R3041" s="73"/>
      <c r="S3041" s="1"/>
      <c r="T3041" s="313"/>
      <c r="U3041" s="1"/>
      <c r="W3041" s="313"/>
      <c r="X3041" s="1"/>
    </row>
    <row r="3042" spans="2:24" ht="13.5" customHeight="1" x14ac:dyDescent="0.35">
      <c r="D3042" s="726"/>
      <c r="E3042" s="128"/>
      <c r="F3042" s="128"/>
      <c r="G3042" s="325"/>
      <c r="H3042" s="325"/>
      <c r="I3042" s="325"/>
      <c r="J3042" s="563"/>
      <c r="K3042" s="325"/>
      <c r="L3042" s="325"/>
      <c r="M3042" s="325"/>
      <c r="N3042" s="169"/>
      <c r="R3042" s="73"/>
      <c r="S3042" s="1"/>
      <c r="T3042" s="313"/>
      <c r="U3042" s="1"/>
      <c r="W3042" s="313"/>
      <c r="X3042" s="1"/>
    </row>
    <row r="3043" spans="2:24" ht="13.5" customHeight="1" x14ac:dyDescent="0.35">
      <c r="D3043" s="726" t="s">
        <v>6457</v>
      </c>
      <c r="E3043" s="128"/>
      <c r="F3043" s="128"/>
      <c r="G3043" s="325" t="s">
        <v>5961</v>
      </c>
      <c r="H3043" s="325"/>
      <c r="I3043" s="325"/>
      <c r="J3043" s="563"/>
      <c r="K3043" s="325"/>
      <c r="L3043" s="325"/>
      <c r="M3043" s="325"/>
      <c r="N3043" s="169"/>
      <c r="P3043" t="s">
        <v>6446</v>
      </c>
      <c r="R3043" s="73"/>
      <c r="S3043" s="1"/>
      <c r="T3043" s="313"/>
      <c r="U3043" s="1"/>
      <c r="W3043" s="313"/>
      <c r="X3043" s="1"/>
    </row>
    <row r="3044" spans="2:24" ht="13.5" customHeight="1" x14ac:dyDescent="0.35">
      <c r="D3044" s="726"/>
      <c r="E3044" s="128"/>
      <c r="F3044" s="128"/>
      <c r="G3044" s="325"/>
      <c r="H3044" s="325"/>
      <c r="I3044" s="325"/>
      <c r="J3044" s="563"/>
      <c r="K3044" s="325"/>
      <c r="L3044" s="325"/>
      <c r="M3044" s="325"/>
      <c r="N3044" s="169"/>
      <c r="R3044" s="73"/>
      <c r="S3044" s="1"/>
      <c r="T3044" s="313"/>
      <c r="U3044" s="1"/>
      <c r="W3044" s="313"/>
      <c r="X3044" s="1"/>
    </row>
    <row r="3045" spans="2:24" ht="13.5" customHeight="1" x14ac:dyDescent="0.35">
      <c r="D3045" s="726" t="s">
        <v>6458</v>
      </c>
      <c r="E3045" s="128"/>
      <c r="F3045" s="128"/>
      <c r="G3045" s="325" t="s">
        <v>5962</v>
      </c>
      <c r="H3045" s="325"/>
      <c r="I3045" s="325"/>
      <c r="J3045" s="563"/>
      <c r="K3045" s="325"/>
      <c r="L3045" s="325"/>
      <c r="M3045" s="325"/>
      <c r="N3045" s="169"/>
      <c r="R3045" s="73"/>
      <c r="S3045" s="1"/>
      <c r="T3045" s="313"/>
      <c r="U3045" s="1"/>
      <c r="W3045" s="313"/>
      <c r="X3045" s="1"/>
    </row>
    <row r="3046" spans="2:24" ht="13.5" customHeight="1" x14ac:dyDescent="0.35">
      <c r="D3046" s="726"/>
      <c r="E3046" s="128"/>
      <c r="F3046" s="128"/>
      <c r="G3046" s="325"/>
      <c r="H3046" s="325"/>
      <c r="I3046" s="325"/>
      <c r="J3046" s="563"/>
      <c r="K3046" s="325"/>
      <c r="L3046" s="325"/>
      <c r="M3046" s="325"/>
      <c r="N3046" s="169"/>
      <c r="R3046" s="73"/>
      <c r="S3046" s="1"/>
      <c r="T3046" s="313"/>
      <c r="U3046" s="1"/>
      <c r="W3046" s="313"/>
      <c r="X3046" s="1"/>
    </row>
    <row r="3047" spans="2:24" ht="13.5" customHeight="1" x14ac:dyDescent="0.35">
      <c r="B3047" s="83" t="s">
        <v>6449</v>
      </c>
      <c r="D3047" s="565"/>
      <c r="E3047" s="128"/>
      <c r="F3047" s="128"/>
      <c r="G3047" s="325"/>
      <c r="H3047" s="325"/>
      <c r="I3047" s="325"/>
      <c r="J3047" s="563"/>
      <c r="K3047" s="325"/>
      <c r="L3047" s="325"/>
      <c r="M3047" s="325"/>
      <c r="N3047" s="169"/>
      <c r="R3047" s="73"/>
      <c r="S3047" s="1"/>
      <c r="T3047" s="313"/>
      <c r="U3047" s="1"/>
      <c r="W3047" s="313"/>
      <c r="X3047" s="1"/>
    </row>
    <row r="3048" spans="2:24" ht="13.5" customHeight="1" x14ac:dyDescent="0.35">
      <c r="D3048" s="726"/>
      <c r="E3048" s="128"/>
      <c r="F3048" s="128"/>
      <c r="G3048" s="325"/>
      <c r="H3048" s="325"/>
      <c r="I3048" s="325"/>
      <c r="J3048" s="563"/>
      <c r="K3048" s="325"/>
      <c r="L3048" s="325"/>
      <c r="M3048" s="325"/>
      <c r="N3048" s="169"/>
      <c r="R3048" s="73"/>
      <c r="S3048" s="1"/>
      <c r="T3048" s="313"/>
      <c r="U3048" s="1"/>
      <c r="W3048" s="313"/>
      <c r="X3048" s="1"/>
    </row>
    <row r="3049" spans="2:24" ht="13.5" customHeight="1" x14ac:dyDescent="0.35">
      <c r="D3049" s="726" t="s">
        <v>8871</v>
      </c>
      <c r="E3049" s="128"/>
      <c r="F3049" s="128"/>
      <c r="G3049" s="325" t="s">
        <v>6445</v>
      </c>
      <c r="H3049" s="325"/>
      <c r="I3049" s="325"/>
      <c r="K3049" s="325"/>
      <c r="L3049" s="325"/>
      <c r="M3049" s="325"/>
      <c r="N3049" s="169"/>
      <c r="R3049" s="73"/>
      <c r="S3049" s="1"/>
      <c r="T3049" s="313"/>
      <c r="U3049" s="1"/>
      <c r="W3049" s="313"/>
      <c r="X3049" s="1"/>
    </row>
    <row r="3050" spans="2:24" ht="13.5" customHeight="1" x14ac:dyDescent="0.35">
      <c r="D3050" s="726" t="s">
        <v>6452</v>
      </c>
      <c r="E3050" s="128"/>
      <c r="F3050" s="128"/>
      <c r="G3050" s="325" t="s">
        <v>6445</v>
      </c>
      <c r="H3050" s="325"/>
      <c r="I3050" s="325"/>
      <c r="K3050" s="325" t="s">
        <v>6444</v>
      </c>
      <c r="L3050" s="325"/>
      <c r="M3050" s="325"/>
      <c r="N3050" s="169"/>
      <c r="R3050" s="73"/>
      <c r="S3050" s="1"/>
      <c r="T3050" s="313"/>
      <c r="U3050" s="1"/>
      <c r="W3050" s="313"/>
      <c r="X3050" s="1"/>
    </row>
    <row r="3051" spans="2:24" ht="13.5" customHeight="1" x14ac:dyDescent="0.35">
      <c r="D3051" s="726" t="s">
        <v>6453</v>
      </c>
      <c r="E3051" s="128"/>
      <c r="F3051" s="128"/>
      <c r="G3051" s="325" t="s">
        <v>6447</v>
      </c>
      <c r="H3051" s="325"/>
      <c r="I3051" s="325"/>
      <c r="J3051" s="563"/>
      <c r="K3051" s="325"/>
      <c r="L3051" s="325"/>
      <c r="M3051" s="325"/>
      <c r="N3051" s="169"/>
      <c r="R3051" s="73"/>
      <c r="S3051" s="1"/>
      <c r="T3051" s="313"/>
      <c r="U3051" s="1"/>
      <c r="W3051" s="313"/>
      <c r="X3051" s="1"/>
    </row>
    <row r="3052" spans="2:24" ht="13.5" customHeight="1" x14ac:dyDescent="0.35">
      <c r="D3052" s="726" t="s">
        <v>6454</v>
      </c>
      <c r="E3052" s="128"/>
      <c r="F3052" s="128"/>
      <c r="G3052" s="325" t="s">
        <v>122</v>
      </c>
      <c r="H3052" s="325"/>
      <c r="I3052" s="325"/>
      <c r="K3052" s="325"/>
      <c r="L3052" s="325"/>
      <c r="M3052" s="325"/>
      <c r="N3052" s="169"/>
      <c r="R3052" s="73"/>
      <c r="S3052" s="1"/>
      <c r="T3052" s="313"/>
      <c r="U3052" s="1"/>
      <c r="W3052" s="313"/>
      <c r="X3052" s="1"/>
    </row>
    <row r="3053" spans="2:24" ht="13.5" customHeight="1" x14ac:dyDescent="0.35">
      <c r="D3053" s="726"/>
      <c r="E3053" s="128"/>
      <c r="F3053" s="128"/>
      <c r="G3053" s="325"/>
      <c r="H3053" s="325"/>
      <c r="I3053" s="325"/>
      <c r="J3053" s="563"/>
      <c r="K3053" s="325"/>
      <c r="L3053" s="325"/>
      <c r="M3053" s="325"/>
      <c r="N3053" s="169"/>
      <c r="R3053" s="73"/>
      <c r="S3053" s="1"/>
      <c r="T3053" s="313"/>
      <c r="U3053" s="1"/>
      <c r="W3053" s="313"/>
      <c r="X3053" s="1"/>
    </row>
    <row r="3054" spans="2:24" ht="13.5" customHeight="1" x14ac:dyDescent="0.35">
      <c r="B3054" s="83" t="s">
        <v>6450</v>
      </c>
      <c r="D3054" s="726"/>
      <c r="E3054" s="128"/>
      <c r="F3054" s="128"/>
      <c r="G3054" s="325"/>
      <c r="H3054" s="325"/>
      <c r="I3054" s="325"/>
      <c r="J3054" s="563"/>
      <c r="K3054" s="325"/>
      <c r="L3054" s="325"/>
      <c r="M3054" s="325"/>
      <c r="N3054" s="169"/>
      <c r="R3054" s="73"/>
      <c r="S3054" s="1"/>
      <c r="T3054" s="313"/>
      <c r="U3054" s="1"/>
      <c r="W3054" s="313"/>
      <c r="X3054" s="1"/>
    </row>
    <row r="3055" spans="2:24" ht="13.5" customHeight="1" x14ac:dyDescent="0.35">
      <c r="D3055" s="726" t="s">
        <v>8191</v>
      </c>
      <c r="E3055" s="128"/>
      <c r="F3055" s="128"/>
      <c r="G3055" s="325" t="s">
        <v>6464</v>
      </c>
      <c r="H3055" s="325"/>
      <c r="I3055" s="325"/>
      <c r="J3055" s="563"/>
      <c r="K3055" s="325"/>
      <c r="M3055" s="325"/>
      <c r="N3055" s="325"/>
      <c r="O3055" s="325"/>
      <c r="P3055" s="325"/>
      <c r="Q3055" s="325"/>
      <c r="R3055" s="325"/>
      <c r="S3055" s="325"/>
      <c r="T3055" s="325"/>
      <c r="U3055" s="325"/>
      <c r="V3055" s="325"/>
      <c r="W3055" s="325"/>
      <c r="X3055" s="325"/>
    </row>
    <row r="3056" spans="2:24" ht="13.5" customHeight="1" x14ac:dyDescent="0.35">
      <c r="D3056" s="726" t="s">
        <v>8192</v>
      </c>
      <c r="E3056" s="128"/>
      <c r="F3056" s="128"/>
      <c r="G3056" s="325" t="s">
        <v>9502</v>
      </c>
      <c r="H3056" s="325"/>
      <c r="I3056" s="325"/>
      <c r="J3056" s="563"/>
      <c r="K3056" s="325"/>
      <c r="M3056" s="325"/>
      <c r="N3056" s="325"/>
      <c r="O3056" s="325"/>
      <c r="P3056" s="325"/>
      <c r="Q3056" s="325"/>
      <c r="R3056" s="325"/>
      <c r="S3056" s="325"/>
      <c r="T3056" s="325"/>
      <c r="U3056" s="325"/>
      <c r="V3056" s="325"/>
      <c r="W3056" s="325"/>
      <c r="X3056" s="325"/>
    </row>
    <row r="3057" spans="1:28" ht="13.5" customHeight="1" x14ac:dyDescent="0.35">
      <c r="D3057" s="726"/>
      <c r="E3057" s="128"/>
      <c r="F3057" s="128"/>
      <c r="G3057" s="325" t="s">
        <v>9503</v>
      </c>
      <c r="H3057" s="325"/>
      <c r="I3057" s="325"/>
      <c r="J3057" s="563"/>
      <c r="K3057" s="325"/>
      <c r="M3057" s="325"/>
      <c r="N3057" s="325"/>
      <c r="O3057" s="325"/>
      <c r="P3057" s="325"/>
      <c r="Q3057" s="325"/>
      <c r="R3057" s="325"/>
      <c r="S3057" s="325"/>
      <c r="T3057" s="325"/>
      <c r="U3057" s="325"/>
      <c r="V3057" s="325"/>
      <c r="W3057" s="325"/>
      <c r="X3057" s="325"/>
    </row>
    <row r="3058" spans="1:28" ht="13.5" customHeight="1" x14ac:dyDescent="0.35">
      <c r="D3058" s="726" t="s">
        <v>6465</v>
      </c>
      <c r="E3058" s="128"/>
      <c r="F3058" s="128"/>
      <c r="G3058" s="325" t="s">
        <v>6466</v>
      </c>
      <c r="H3058" s="325"/>
      <c r="I3058" s="325"/>
      <c r="J3058" s="563"/>
      <c r="K3058" s="325"/>
      <c r="L3058" s="325"/>
      <c r="M3058" s="325"/>
      <c r="N3058" s="169"/>
      <c r="R3058" s="73"/>
      <c r="S3058" s="1"/>
      <c r="T3058" s="313"/>
      <c r="U3058" s="1"/>
      <c r="W3058" s="313"/>
      <c r="X3058" s="1"/>
    </row>
    <row r="3059" spans="1:28" ht="13.5" customHeight="1" x14ac:dyDescent="0.35">
      <c r="D3059" s="726" t="s">
        <v>6459</v>
      </c>
      <c r="E3059" s="128"/>
      <c r="F3059" s="128"/>
      <c r="G3059" s="325" t="s">
        <v>6451</v>
      </c>
      <c r="H3059" s="325"/>
      <c r="I3059" s="325"/>
      <c r="J3059" s="563"/>
      <c r="K3059" s="325"/>
      <c r="L3059" s="325"/>
      <c r="M3059" s="325"/>
      <c r="N3059" s="169"/>
      <c r="R3059" s="73"/>
      <c r="S3059" s="1"/>
      <c r="T3059" s="313"/>
      <c r="U3059" s="1"/>
      <c r="W3059" s="313"/>
      <c r="X3059" s="1"/>
    </row>
    <row r="3060" spans="1:28" ht="13.5" customHeight="1" x14ac:dyDescent="0.35">
      <c r="D3060" s="726"/>
      <c r="E3060" s="128"/>
      <c r="F3060" s="128"/>
      <c r="G3060" s="325"/>
      <c r="H3060" s="325"/>
      <c r="I3060" s="325"/>
      <c r="J3060" s="563"/>
      <c r="K3060" s="325"/>
      <c r="L3060" s="325"/>
      <c r="M3060" s="325"/>
      <c r="N3060" s="169"/>
      <c r="R3060" s="73"/>
      <c r="S3060" s="1"/>
      <c r="T3060" s="313"/>
      <c r="U3060" s="1"/>
      <c r="W3060" s="313"/>
      <c r="X3060" s="1"/>
    </row>
    <row r="3061" spans="1:28" x14ac:dyDescent="0.35">
      <c r="B3061" s="83" t="s">
        <v>5026</v>
      </c>
    </row>
    <row r="3062" spans="1:28" x14ac:dyDescent="0.35">
      <c r="D3062" t="s">
        <v>5027</v>
      </c>
    </row>
    <row r="3063" spans="1:28" x14ac:dyDescent="0.35">
      <c r="D3063" s="155"/>
      <c r="E3063" s="155"/>
      <c r="F3063" s="155"/>
      <c r="G3063" s="1"/>
      <c r="H3063" s="155"/>
      <c r="J3063" s="155"/>
      <c r="M3063" s="295"/>
      <c r="O3063" s="295"/>
      <c r="P3063" s="295"/>
      <c r="Q3063" s="295"/>
      <c r="R3063" s="295"/>
      <c r="T3063" s="295"/>
      <c r="U3063" s="1"/>
      <c r="W3063" s="313"/>
      <c r="X3063" s="1"/>
    </row>
    <row r="3064" spans="1:28" s="5" customFormat="1" x14ac:dyDescent="0.35">
      <c r="A3064" s="86" t="s">
        <v>6499</v>
      </c>
    </row>
    <row r="3065" spans="1:28" x14ac:dyDescent="0.35">
      <c r="D3065" s="155"/>
      <c r="E3065" s="12"/>
      <c r="F3065" s="1"/>
      <c r="G3065" s="155"/>
      <c r="I3065" s="496"/>
      <c r="J3065" s="335"/>
      <c r="K3065" s="335"/>
      <c r="L3065" s="476"/>
      <c r="M3065" s="12"/>
      <c r="N3065" s="12"/>
      <c r="O3065" s="12"/>
      <c r="P3065" s="12"/>
      <c r="Q3065" s="12"/>
      <c r="R3065" s="12"/>
      <c r="S3065" s="12"/>
      <c r="T3065" s="12"/>
      <c r="U3065" s="12"/>
      <c r="V3065" s="12"/>
      <c r="W3065" s="12"/>
      <c r="X3065" s="12"/>
      <c r="Y3065" s="12"/>
      <c r="Z3065" s="12"/>
      <c r="AA3065" s="12"/>
      <c r="AB3065" s="12"/>
    </row>
    <row r="3066" spans="1:28" x14ac:dyDescent="0.35">
      <c r="B3066" s="83" t="s">
        <v>5110</v>
      </c>
      <c r="D3066" s="155" t="s">
        <v>7862</v>
      </c>
      <c r="E3066" s="12"/>
      <c r="F3066" s="1"/>
      <c r="G3066" s="155"/>
      <c r="I3066" s="496"/>
      <c r="J3066" s="335" t="s">
        <v>6468</v>
      </c>
      <c r="K3066" s="335"/>
      <c r="L3066" s="476"/>
      <c r="M3066" s="12"/>
      <c r="N3066" s="12"/>
      <c r="O3066" s="12"/>
      <c r="P3066" s="12"/>
      <c r="Q3066" s="12" t="s">
        <v>8872</v>
      </c>
      <c r="R3066" s="12"/>
      <c r="S3066" s="12"/>
      <c r="T3066" s="12"/>
      <c r="U3066" s="12"/>
      <c r="V3066" s="12"/>
      <c r="W3066" s="12"/>
      <c r="X3066" s="12"/>
      <c r="Y3066" s="12"/>
      <c r="Z3066" s="12"/>
      <c r="AA3066" s="12"/>
      <c r="AB3066" s="12"/>
    </row>
    <row r="3067" spans="1:28" x14ac:dyDescent="0.35">
      <c r="D3067" s="155" t="s">
        <v>7861</v>
      </c>
      <c r="E3067" s="12"/>
      <c r="F3067" s="1"/>
      <c r="G3067" s="155"/>
      <c r="I3067" s="496"/>
      <c r="J3067" s="335" t="s">
        <v>6467</v>
      </c>
      <c r="K3067" s="335"/>
      <c r="L3067" s="476"/>
      <c r="M3067" s="12"/>
      <c r="N3067" s="12"/>
      <c r="O3067" s="12"/>
      <c r="P3067" s="12"/>
      <c r="Q3067" s="12" t="s">
        <v>8872</v>
      </c>
      <c r="R3067" s="12"/>
      <c r="S3067" s="12"/>
      <c r="T3067" s="12"/>
      <c r="U3067" s="12"/>
      <c r="V3067" s="12"/>
      <c r="W3067" s="12"/>
      <c r="X3067" s="12"/>
      <c r="Y3067" s="12"/>
      <c r="Z3067" s="12"/>
      <c r="AA3067" s="12"/>
      <c r="AB3067" s="12"/>
    </row>
    <row r="3068" spans="1:28" x14ac:dyDescent="0.35">
      <c r="D3068" s="155"/>
      <c r="E3068" s="12"/>
      <c r="F3068" s="1"/>
      <c r="G3068" s="155"/>
      <c r="I3068" s="496"/>
      <c r="J3068" s="335"/>
      <c r="K3068" s="335"/>
      <c r="L3068" s="476"/>
      <c r="M3068" s="12"/>
      <c r="N3068" s="12"/>
      <c r="O3068" s="12"/>
      <c r="P3068" s="12"/>
      <c r="Q3068" s="12"/>
      <c r="R3068" s="12"/>
      <c r="S3068" s="12"/>
      <c r="T3068" s="12"/>
      <c r="U3068" s="12"/>
      <c r="V3068" s="12"/>
      <c r="W3068" s="12"/>
      <c r="X3068" s="12"/>
      <c r="Y3068" s="12"/>
      <c r="Z3068" s="12"/>
      <c r="AA3068" s="12"/>
      <c r="AB3068" s="12"/>
    </row>
    <row r="3069" spans="1:28" ht="13.5" customHeight="1" x14ac:dyDescent="0.35">
      <c r="B3069" s="83" t="s">
        <v>6441</v>
      </c>
      <c r="G3069" s="132"/>
      <c r="H3069" s="155"/>
      <c r="K3069" s="155"/>
      <c r="L3069" s="155"/>
      <c r="M3069" s="1"/>
      <c r="R3069" s="73"/>
      <c r="S3069" s="1"/>
      <c r="T3069" s="313"/>
      <c r="U3069" s="1"/>
      <c r="W3069" s="1"/>
      <c r="X3069" s="1"/>
    </row>
    <row r="3070" spans="1:28" ht="13.5" customHeight="1" x14ac:dyDescent="0.35">
      <c r="D3070" t="s">
        <v>5758</v>
      </c>
      <c r="G3070" s="132"/>
      <c r="H3070" s="155"/>
      <c r="K3070" s="155"/>
      <c r="L3070" s="155"/>
      <c r="O3070" t="s">
        <v>0</v>
      </c>
      <c r="R3070" s="73"/>
      <c r="S3070" s="1"/>
      <c r="T3070" s="313"/>
      <c r="U3070" s="1"/>
      <c r="W3070" s="1" t="s">
        <v>6443</v>
      </c>
      <c r="X3070" s="1"/>
      <c r="Y3070" t="s">
        <v>0</v>
      </c>
    </row>
    <row r="3071" spans="1:28" ht="13.5" customHeight="1" x14ac:dyDescent="0.35">
      <c r="D3071" t="s">
        <v>6439</v>
      </c>
      <c r="G3071" s="132"/>
      <c r="H3071" s="155"/>
      <c r="K3071" s="155"/>
      <c r="L3071" s="155"/>
      <c r="M3071" s="1"/>
      <c r="N3071" s="1"/>
      <c r="R3071" s="73"/>
      <c r="S3071" s="1"/>
      <c r="T3071" s="313"/>
      <c r="U3071" s="1"/>
      <c r="W3071" s="1" t="s">
        <v>6440</v>
      </c>
      <c r="X3071" s="1"/>
      <c r="Y3071" t="s">
        <v>0</v>
      </c>
    </row>
    <row r="3072" spans="1:28" ht="13.5" customHeight="1" x14ac:dyDescent="0.35">
      <c r="D3072" t="s">
        <v>6442</v>
      </c>
      <c r="G3072" s="132"/>
      <c r="H3072" s="155"/>
      <c r="K3072" s="155"/>
      <c r="L3072" s="155"/>
      <c r="M3072" s="1"/>
      <c r="N3072" s="1"/>
      <c r="R3072" s="73"/>
      <c r="S3072" s="1"/>
      <c r="T3072" s="313"/>
      <c r="U3072" s="1"/>
      <c r="W3072" s="1" t="s">
        <v>6443</v>
      </c>
      <c r="X3072" s="1"/>
      <c r="Y3072" t="s">
        <v>0</v>
      </c>
    </row>
    <row r="3073" spans="1:24" ht="13.5" customHeight="1" x14ac:dyDescent="0.35">
      <c r="G3073" s="132"/>
      <c r="H3073" s="155"/>
      <c r="K3073" s="155"/>
      <c r="L3073" s="155"/>
      <c r="M3073" s="1"/>
      <c r="N3073" s="1"/>
      <c r="R3073" s="73"/>
      <c r="S3073" s="1"/>
      <c r="T3073" s="313"/>
      <c r="U3073" s="1"/>
      <c r="W3073" s="1"/>
      <c r="X3073" s="1"/>
    </row>
    <row r="3074" spans="1:24" s="5" customFormat="1" x14ac:dyDescent="0.35">
      <c r="A3074" s="86" t="s">
        <v>7324</v>
      </c>
    </row>
    <row r="3075" spans="1:24" ht="13.5" customHeight="1" x14ac:dyDescent="0.35">
      <c r="G3075" s="132"/>
      <c r="H3075" s="155"/>
      <c r="K3075" s="155"/>
      <c r="L3075" s="155"/>
      <c r="M3075" s="1"/>
      <c r="N3075" s="1"/>
      <c r="R3075" s="73"/>
      <c r="S3075" s="1"/>
      <c r="T3075" s="313"/>
      <c r="U3075" s="1"/>
      <c r="W3075" s="1"/>
      <c r="X3075" s="1"/>
    </row>
    <row r="3076" spans="1:24" ht="13.5" customHeight="1" x14ac:dyDescent="0.35">
      <c r="B3076" s="83" t="s">
        <v>7364</v>
      </c>
      <c r="D3076" t="s">
        <v>7396</v>
      </c>
      <c r="G3076" s="132"/>
      <c r="H3076" s="155"/>
      <c r="K3076" s="155"/>
      <c r="L3076" s="155"/>
      <c r="M3076" s="1"/>
      <c r="N3076" s="1"/>
      <c r="R3076" s="73"/>
      <c r="S3076" s="1"/>
      <c r="T3076" s="313"/>
      <c r="U3076" s="1"/>
      <c r="W3076" s="1"/>
      <c r="X3076" s="1"/>
    </row>
    <row r="3077" spans="1:24" ht="13.5" customHeight="1" x14ac:dyDescent="0.35">
      <c r="D3077" t="s">
        <v>7495</v>
      </c>
      <c r="G3077" s="132"/>
      <c r="H3077" s="155"/>
      <c r="K3077" s="155"/>
      <c r="L3077" s="155"/>
      <c r="M3077" s="1"/>
      <c r="N3077" s="1"/>
      <c r="R3077" s="73"/>
      <c r="S3077" s="1"/>
      <c r="T3077" s="313"/>
      <c r="U3077" s="1"/>
      <c r="W3077" s="1"/>
      <c r="X3077" s="1"/>
    </row>
    <row r="3078" spans="1:24" ht="13.5" customHeight="1" x14ac:dyDescent="0.35">
      <c r="D3078" t="s">
        <v>7397</v>
      </c>
      <c r="G3078" s="132"/>
      <c r="H3078" s="155"/>
      <c r="K3078" s="155"/>
      <c r="L3078" s="155"/>
      <c r="M3078" s="1"/>
      <c r="N3078" s="1"/>
      <c r="R3078" s="73"/>
      <c r="S3078" s="1"/>
      <c r="T3078" s="313"/>
      <c r="U3078" s="1"/>
      <c r="W3078" s="1"/>
      <c r="X3078" s="1"/>
    </row>
    <row r="3079" spans="1:24" ht="13.5" customHeight="1" x14ac:dyDescent="0.35">
      <c r="D3079" t="s">
        <v>7398</v>
      </c>
      <c r="G3079" s="132"/>
      <c r="H3079" s="155"/>
      <c r="K3079" s="155"/>
      <c r="L3079" s="155"/>
      <c r="M3079" s="1"/>
      <c r="N3079" s="1"/>
      <c r="R3079" s="73"/>
      <c r="S3079" s="1"/>
      <c r="T3079" s="313"/>
      <c r="U3079" s="1"/>
      <c r="W3079" s="1"/>
      <c r="X3079" s="1"/>
    </row>
    <row r="3080" spans="1:24" ht="13.5" customHeight="1" x14ac:dyDescent="0.35">
      <c r="D3080" t="s">
        <v>7399</v>
      </c>
      <c r="G3080" s="132"/>
      <c r="H3080" s="155"/>
      <c r="K3080" s="155"/>
      <c r="L3080" s="155"/>
      <c r="M3080" s="1"/>
      <c r="N3080" s="1"/>
      <c r="R3080" s="73"/>
      <c r="S3080" s="1"/>
      <c r="T3080" s="313"/>
      <c r="U3080" s="1"/>
      <c r="W3080" s="1"/>
      <c r="X3080" s="1"/>
    </row>
    <row r="3081" spans="1:24" ht="13.5" customHeight="1" x14ac:dyDescent="0.35">
      <c r="D3081" t="s">
        <v>7497</v>
      </c>
      <c r="G3081" s="132"/>
      <c r="H3081" s="155"/>
      <c r="K3081" s="155"/>
      <c r="L3081" s="155"/>
      <c r="M3081" s="1"/>
      <c r="N3081" s="1"/>
      <c r="R3081" s="73"/>
      <c r="S3081" s="1"/>
      <c r="T3081" s="313"/>
      <c r="U3081" s="1"/>
      <c r="W3081" s="1"/>
      <c r="X3081" s="1"/>
    </row>
    <row r="3082" spans="1:24" ht="13.5" customHeight="1" x14ac:dyDescent="0.35">
      <c r="D3082" t="s">
        <v>7498</v>
      </c>
      <c r="G3082" s="132"/>
      <c r="H3082" s="155"/>
      <c r="K3082" s="155"/>
      <c r="L3082" s="155"/>
      <c r="M3082" s="1"/>
      <c r="N3082" s="1"/>
      <c r="R3082" s="73"/>
      <c r="S3082" s="1"/>
      <c r="T3082" s="313"/>
      <c r="U3082" s="1"/>
      <c r="W3082" s="1"/>
      <c r="X3082" s="1"/>
    </row>
    <row r="3083" spans="1:24" ht="13.5" customHeight="1" x14ac:dyDescent="0.35">
      <c r="G3083" s="132"/>
      <c r="H3083" s="155"/>
      <c r="K3083" s="155"/>
      <c r="L3083" s="155"/>
      <c r="M3083" s="1"/>
      <c r="N3083" s="1"/>
      <c r="R3083" s="73"/>
      <c r="S3083" s="1"/>
      <c r="T3083" s="313"/>
      <c r="U3083" s="1"/>
      <c r="W3083" s="1"/>
      <c r="X3083" s="1"/>
    </row>
    <row r="3084" spans="1:24" ht="13.5" customHeight="1" x14ac:dyDescent="0.35">
      <c r="B3084" s="83" t="s">
        <v>7383</v>
      </c>
      <c r="D3084" t="s">
        <v>7386</v>
      </c>
      <c r="E3084" t="s">
        <v>7384</v>
      </c>
      <c r="G3084" s="132"/>
      <c r="H3084" s="155"/>
      <c r="K3084" s="155"/>
      <c r="L3084" s="155"/>
      <c r="M3084" s="1"/>
      <c r="N3084" s="1"/>
      <c r="R3084" s="73"/>
      <c r="S3084" s="1"/>
      <c r="T3084" s="313"/>
      <c r="U3084" s="1"/>
      <c r="W3084" s="1"/>
      <c r="X3084" s="1"/>
    </row>
    <row r="3085" spans="1:24" ht="13.5" customHeight="1" x14ac:dyDescent="0.35">
      <c r="G3085" s="132"/>
      <c r="H3085" s="155"/>
      <c r="K3085" s="155"/>
      <c r="L3085" s="155"/>
      <c r="M3085" s="1"/>
      <c r="N3085" s="1"/>
      <c r="R3085" s="73"/>
      <c r="S3085" s="1"/>
      <c r="T3085" s="313"/>
      <c r="U3085" s="1"/>
      <c r="W3085" s="1"/>
      <c r="X3085" s="1"/>
    </row>
    <row r="3086" spans="1:24" ht="13.5" customHeight="1" x14ac:dyDescent="0.35">
      <c r="D3086" t="s">
        <v>7385</v>
      </c>
      <c r="E3086" t="s">
        <v>7389</v>
      </c>
      <c r="G3086" s="132"/>
      <c r="H3086" s="155"/>
      <c r="K3086" s="155"/>
      <c r="L3086" s="155"/>
      <c r="M3086" s="1"/>
      <c r="N3086" s="1"/>
      <c r="R3086" s="73"/>
      <c r="S3086" s="1"/>
      <c r="T3086" s="313"/>
      <c r="U3086" s="1"/>
      <c r="W3086" s="1"/>
      <c r="X3086" s="1"/>
    </row>
    <row r="3087" spans="1:24" ht="13.5" customHeight="1" x14ac:dyDescent="0.35">
      <c r="E3087" t="s">
        <v>7387</v>
      </c>
      <c r="G3087" s="132"/>
      <c r="H3087" s="155"/>
      <c r="K3087" s="155"/>
      <c r="L3087" s="155"/>
      <c r="M3087" s="1"/>
      <c r="N3087" s="1"/>
      <c r="R3087" s="73"/>
      <c r="S3087" s="1"/>
      <c r="T3087" s="313"/>
      <c r="U3087" s="1"/>
      <c r="W3087" s="1"/>
      <c r="X3087" s="1"/>
    </row>
    <row r="3088" spans="1:24" ht="13.5" customHeight="1" x14ac:dyDescent="0.35">
      <c r="E3088" t="s">
        <v>7388</v>
      </c>
      <c r="G3088" s="132"/>
      <c r="H3088" s="155"/>
      <c r="K3088" s="155"/>
      <c r="L3088" s="155"/>
      <c r="M3088" s="1"/>
      <c r="N3088" s="1"/>
      <c r="R3088" s="73"/>
      <c r="S3088" s="1"/>
      <c r="T3088" s="313"/>
      <c r="U3088" s="1"/>
      <c r="W3088" s="1"/>
      <c r="X3088" s="1"/>
    </row>
    <row r="3089" spans="2:24" ht="13.5" customHeight="1" x14ac:dyDescent="0.45">
      <c r="E3089" t="s">
        <v>7390</v>
      </c>
      <c r="G3089" s="132"/>
      <c r="H3089" s="155"/>
      <c r="K3089" s="155"/>
      <c r="L3089" s="155"/>
      <c r="M3089" s="1"/>
      <c r="N3089" s="1"/>
      <c r="R3089" s="73"/>
      <c r="S3089" s="1"/>
      <c r="T3089" s="313"/>
      <c r="U3089" s="1"/>
      <c r="W3089" s="1"/>
      <c r="X3089" s="1"/>
    </row>
    <row r="3090" spans="2:24" ht="13.5" customHeight="1" x14ac:dyDescent="0.35">
      <c r="G3090" s="132"/>
      <c r="H3090" s="155"/>
      <c r="K3090" s="155"/>
      <c r="L3090" s="155"/>
      <c r="M3090" s="1"/>
      <c r="N3090" s="1"/>
      <c r="R3090" s="73"/>
      <c r="S3090" s="1"/>
      <c r="T3090" s="313"/>
      <c r="U3090" s="1"/>
      <c r="W3090" s="1"/>
      <c r="X3090" s="1"/>
    </row>
    <row r="3091" spans="2:24" ht="27.5" customHeight="1" x14ac:dyDescent="0.35">
      <c r="B3091" s="83" t="s">
        <v>7459</v>
      </c>
      <c r="D3091" s="123" t="s">
        <v>7391</v>
      </c>
      <c r="F3091" s="123" t="s">
        <v>7456</v>
      </c>
      <c r="G3091" s="123" t="s">
        <v>7454</v>
      </c>
      <c r="H3091" s="123" t="s">
        <v>7455</v>
      </c>
      <c r="J3091" s="123" t="s">
        <v>7436</v>
      </c>
      <c r="L3091" s="123" t="s">
        <v>7457</v>
      </c>
      <c r="M3091" s="155"/>
      <c r="N3091" s="155"/>
      <c r="O3091" s="1"/>
      <c r="P3091" s="123" t="s">
        <v>7457</v>
      </c>
      <c r="S3091" s="1"/>
      <c r="T3091" s="313"/>
      <c r="U3091" s="1"/>
      <c r="W3091" s="1"/>
      <c r="X3091" s="1"/>
    </row>
    <row r="3092" spans="2:24" ht="13.5" customHeight="1" x14ac:dyDescent="0.35">
      <c r="D3092" s="297"/>
      <c r="G3092" s="155"/>
      <c r="H3092" s="132"/>
      <c r="M3092" s="155"/>
      <c r="N3092" s="155"/>
      <c r="O3092" s="1"/>
      <c r="P3092" s="1"/>
      <c r="S3092" s="1"/>
      <c r="T3092" s="313"/>
      <c r="U3092" s="1"/>
      <c r="W3092" s="1"/>
      <c r="X3092" s="1"/>
    </row>
    <row r="3093" spans="2:24" ht="13.5" customHeight="1" x14ac:dyDescent="0.35">
      <c r="D3093" s="171" t="s">
        <v>6682</v>
      </c>
      <c r="F3093" s="554">
        <f>F2824</f>
        <v>3.3</v>
      </c>
      <c r="G3093" s="320">
        <f>M2824</f>
        <v>3.2903799999999999</v>
      </c>
      <c r="H3093" s="320">
        <f>N2824</f>
        <v>3.3096199999999998</v>
      </c>
      <c r="L3093" t="s">
        <v>7476</v>
      </c>
      <c r="M3093" s="155"/>
      <c r="N3093" s="155"/>
      <c r="O3093" s="1"/>
      <c r="P3093" s="1"/>
      <c r="S3093" s="1"/>
      <c r="T3093" s="313"/>
      <c r="U3093" s="1"/>
      <c r="W3093" s="1"/>
      <c r="X3093" s="1"/>
    </row>
    <row r="3094" spans="2:24" ht="13.5" customHeight="1" x14ac:dyDescent="0.35">
      <c r="D3094" s="171" t="s">
        <v>7379</v>
      </c>
      <c r="F3094" s="554">
        <f>F3153</f>
        <v>3.0884615384615381</v>
      </c>
      <c r="G3094" s="554">
        <f>G3153</f>
        <v>3.0809732516919111</v>
      </c>
      <c r="H3094" s="554">
        <f>H3153</f>
        <v>3.0909228562320687</v>
      </c>
      <c r="J3094" s="10">
        <f t="shared" ref="J3094:J3099" si="162">G3103</f>
        <v>3.1206999999999994</v>
      </c>
      <c r="L3094" t="s">
        <v>7471</v>
      </c>
      <c r="M3094" s="155"/>
      <c r="N3094" s="155"/>
      <c r="O3094" s="1"/>
      <c r="P3094" s="1"/>
      <c r="S3094" s="1"/>
      <c r="T3094" s="313"/>
      <c r="U3094" s="1"/>
      <c r="W3094" s="1"/>
      <c r="X3094" s="1"/>
    </row>
    <row r="3095" spans="2:24" ht="13.5" customHeight="1" x14ac:dyDescent="0.35">
      <c r="D3095" s="171" t="s">
        <v>7392</v>
      </c>
      <c r="F3095" s="320">
        <f>F3156</f>
        <v>1.5429740269809948</v>
      </c>
      <c r="G3095" s="320">
        <f>G3156</f>
        <v>1.5333069393123637</v>
      </c>
      <c r="H3095" s="320">
        <f>H3156</f>
        <v>1.5526411146496262</v>
      </c>
      <c r="J3095" s="10">
        <f t="shared" si="162"/>
        <v>1.5548499999999998</v>
      </c>
      <c r="L3095" t="s">
        <v>7472</v>
      </c>
      <c r="M3095" s="155"/>
      <c r="N3095" s="155"/>
      <c r="O3095" s="1"/>
      <c r="P3095" s="1"/>
      <c r="S3095" s="1"/>
      <c r="T3095" s="313"/>
      <c r="U3095" s="1"/>
      <c r="W3095" s="1"/>
      <c r="X3095" s="1"/>
    </row>
    <row r="3096" spans="2:24" ht="13.5" customHeight="1" x14ac:dyDescent="0.35">
      <c r="D3096" s="171" t="s">
        <v>7395</v>
      </c>
      <c r="F3096" s="320">
        <f>F3154</f>
        <v>0.7615384615384615</v>
      </c>
      <c r="G3096" s="320">
        <f>G3154</f>
        <v>0.74924053665548618</v>
      </c>
      <c r="H3096" s="320">
        <f>H3154</f>
        <v>0.76888567293777144</v>
      </c>
      <c r="J3096" s="10">
        <f t="shared" si="162"/>
        <v>0.77192499999999986</v>
      </c>
      <c r="L3096" t="s">
        <v>7473</v>
      </c>
      <c r="M3096" s="155"/>
      <c r="N3096" s="155"/>
      <c r="O3096" s="1"/>
      <c r="P3096" s="1"/>
      <c r="S3096" s="1"/>
      <c r="T3096" s="313"/>
      <c r="U3096" s="1"/>
      <c r="W3096" s="1"/>
      <c r="X3096" s="1"/>
    </row>
    <row r="3097" spans="2:24" ht="13.5" customHeight="1" x14ac:dyDescent="0.35">
      <c r="D3097" s="171" t="s">
        <v>7393</v>
      </c>
      <c r="F3097" s="320">
        <f t="shared" ref="F3097:H3098" si="163">F3158</f>
        <v>0.37079553201062943</v>
      </c>
      <c r="G3097" s="320">
        <f t="shared" si="163"/>
        <v>0.3684155076095002</v>
      </c>
      <c r="H3097" s="320">
        <f t="shared" si="163"/>
        <v>0.37317623855175996</v>
      </c>
      <c r="J3097" s="10">
        <f t="shared" si="162"/>
        <v>0.38046249999999993</v>
      </c>
      <c r="L3097" t="s">
        <v>7474</v>
      </c>
      <c r="M3097" s="155"/>
      <c r="N3097" s="155"/>
      <c r="O3097" s="1"/>
      <c r="P3097" s="1"/>
      <c r="S3097" s="1"/>
      <c r="T3097" s="313"/>
      <c r="U3097" s="1"/>
      <c r="W3097" s="1"/>
      <c r="X3097" s="1"/>
    </row>
    <row r="3098" spans="2:24" ht="13.5" customHeight="1" x14ac:dyDescent="0.35">
      <c r="D3098" s="171" t="s">
        <v>7394</v>
      </c>
      <c r="F3098" s="320">
        <f t="shared" si="163"/>
        <v>0.17666174561762971</v>
      </c>
      <c r="G3098" s="320">
        <f t="shared" si="163"/>
        <v>0.17496851095847346</v>
      </c>
      <c r="H3098" s="320">
        <f t="shared" si="163"/>
        <v>0.17836630118884073</v>
      </c>
      <c r="J3098" s="10">
        <f t="shared" si="162"/>
        <v>0.18473124999999996</v>
      </c>
      <c r="L3098" t="s">
        <v>7475</v>
      </c>
      <c r="M3098" s="155"/>
      <c r="N3098" s="155"/>
      <c r="O3098" s="1"/>
      <c r="P3098" s="1"/>
      <c r="S3098" s="1"/>
      <c r="T3098" s="313"/>
      <c r="U3098" s="1"/>
      <c r="W3098" s="1"/>
      <c r="X3098" s="1"/>
    </row>
    <row r="3099" spans="2:24" ht="13.5" customHeight="1" x14ac:dyDescent="0.35">
      <c r="D3099" s="171" t="s">
        <v>7462</v>
      </c>
      <c r="F3099" s="320">
        <f t="shared" ref="F3099:H3100" si="164">F3161</f>
        <v>8.2922860187867001E-2</v>
      </c>
      <c r="G3099" s="320">
        <f t="shared" si="164"/>
        <v>8.2000797332599767E-2</v>
      </c>
      <c r="H3099" s="320">
        <f t="shared" si="164"/>
        <v>8.3853942898049524E-2</v>
      </c>
      <c r="J3099" s="10">
        <f t="shared" si="162"/>
        <v>8.6865624999999988E-2</v>
      </c>
      <c r="M3099" s="155"/>
      <c r="N3099" s="155"/>
      <c r="P3099" t="s">
        <v>7469</v>
      </c>
      <c r="S3099" s="1"/>
      <c r="T3099" s="313"/>
      <c r="U3099" s="1"/>
      <c r="W3099" s="1"/>
      <c r="X3099" s="1"/>
    </row>
    <row r="3100" spans="2:24" ht="13.5" customHeight="1" x14ac:dyDescent="0.35">
      <c r="D3100" s="171" t="s">
        <v>7477</v>
      </c>
      <c r="F3100" s="471">
        <f t="shared" si="164"/>
        <v>1.1481626795243125E-2</v>
      </c>
      <c r="G3100" s="471">
        <f t="shared" si="164"/>
        <v>1.1340678903222856E-2</v>
      </c>
      <c r="H3100" s="471">
        <f t="shared" si="164"/>
        <v>1.1624288166728124E-2</v>
      </c>
      <c r="J3100" s="11">
        <f>G3110</f>
        <v>1.3466406249999997E-2</v>
      </c>
      <c r="M3100" s="155"/>
      <c r="N3100" s="155"/>
      <c r="O3100" s="1"/>
      <c r="P3100" t="s">
        <v>7470</v>
      </c>
      <c r="S3100" s="1"/>
      <c r="T3100" s="313"/>
      <c r="U3100" s="1"/>
      <c r="W3100" s="1"/>
      <c r="X3100" s="1"/>
    </row>
    <row r="3101" spans="2:24" ht="13.5" customHeight="1" x14ac:dyDescent="0.35">
      <c r="G3101" s="132"/>
      <c r="H3101" s="155"/>
      <c r="K3101" s="155"/>
      <c r="L3101" s="155"/>
      <c r="M3101" s="1"/>
      <c r="N3101" s="1"/>
      <c r="R3101" s="73"/>
      <c r="S3101" s="1"/>
      <c r="T3101" s="313"/>
      <c r="U3101" s="1"/>
      <c r="W3101" s="1"/>
      <c r="X3101" s="1"/>
    </row>
    <row r="3102" spans="2:24" ht="24" customHeight="1" x14ac:dyDescent="0.35">
      <c r="B3102" s="83" t="s">
        <v>7373</v>
      </c>
      <c r="D3102" s="123" t="s">
        <v>7365</v>
      </c>
      <c r="E3102" s="123" t="s">
        <v>8202</v>
      </c>
      <c r="G3102" s="123" t="s">
        <v>7436</v>
      </c>
      <c r="H3102" s="123" t="s">
        <v>7391</v>
      </c>
      <c r="J3102" t="s">
        <v>7380</v>
      </c>
      <c r="M3102" s="1"/>
      <c r="N3102" s="1"/>
      <c r="R3102" s="73"/>
      <c r="S3102" s="1"/>
      <c r="T3102" s="313"/>
      <c r="U3102" s="1"/>
      <c r="W3102" s="1"/>
      <c r="X3102" s="1"/>
    </row>
    <row r="3103" spans="2:24" ht="13.5" customHeight="1" x14ac:dyDescent="0.35">
      <c r="B3103" s="83" t="s">
        <v>7370</v>
      </c>
      <c r="D3103">
        <v>1</v>
      </c>
      <c r="E3103" s="391">
        <f t="shared" ref="E3103:E3110" si="165">$I$3129/D3103</f>
        <v>3.3</v>
      </c>
      <c r="G3103" s="785">
        <f t="shared" ref="G3103:G3110" si="166">E3103*(1-$D$3122)-$D$3126</f>
        <v>3.1206999999999994</v>
      </c>
      <c r="H3103" s="95" t="str">
        <f t="shared" ref="H3103:H3108" si="167">D3094</f>
        <v>3.1Vcal_Buf</v>
      </c>
      <c r="J3103" t="str">
        <f>D2834</f>
        <v>MCP3461T-E/ST -- 16bit, delta sigma, $1.53, 60 to 150K s/sec, programmable gain (our 300W prototype goes direct to TSSOP-20, no eval pcb)</v>
      </c>
      <c r="M3103" s="1"/>
      <c r="N3103" s="1"/>
      <c r="R3103" s="73"/>
      <c r="S3103" s="1"/>
      <c r="T3103" s="313"/>
      <c r="U3103" s="1"/>
      <c r="W3103" s="1"/>
      <c r="X3103" s="1"/>
    </row>
    <row r="3104" spans="2:24" ht="13.5" customHeight="1" x14ac:dyDescent="0.35">
      <c r="D3104">
        <f>D3103*2</f>
        <v>2</v>
      </c>
      <c r="E3104" s="391">
        <f t="shared" si="165"/>
        <v>1.65</v>
      </c>
      <c r="G3104" s="785">
        <f t="shared" si="166"/>
        <v>1.5548499999999998</v>
      </c>
      <c r="H3104" s="95" t="str">
        <f t="shared" si="167"/>
        <v>1.5Vcal</v>
      </c>
      <c r="M3104" s="1"/>
      <c r="N3104" s="1"/>
      <c r="R3104" s="73"/>
      <c r="S3104" s="1"/>
      <c r="T3104" s="313"/>
      <c r="U3104" s="1"/>
      <c r="W3104" s="1"/>
      <c r="X3104" s="1"/>
    </row>
    <row r="3105" spans="2:24" ht="13.5" customHeight="1" x14ac:dyDescent="0.35">
      <c r="D3105">
        <f t="shared" ref="D3105:D3109" si="168">D3104*2</f>
        <v>4</v>
      </c>
      <c r="E3105" s="391">
        <f t="shared" si="165"/>
        <v>0.82499999999999996</v>
      </c>
      <c r="G3105" s="785">
        <f t="shared" si="166"/>
        <v>0.77192499999999986</v>
      </c>
      <c r="H3105" s="95" t="str">
        <f t="shared" si="167"/>
        <v>750mVcal_Buf</v>
      </c>
      <c r="M3105" s="1"/>
      <c r="N3105" s="1"/>
      <c r="R3105" s="73"/>
      <c r="S3105" s="1"/>
      <c r="T3105" s="313"/>
      <c r="U3105" s="1"/>
      <c r="W3105" s="1"/>
      <c r="X3105" s="1"/>
    </row>
    <row r="3106" spans="2:24" ht="13.5" customHeight="1" x14ac:dyDescent="0.35">
      <c r="D3106">
        <f t="shared" si="168"/>
        <v>8</v>
      </c>
      <c r="E3106" s="391">
        <f t="shared" si="165"/>
        <v>0.41249999999999998</v>
      </c>
      <c r="G3106" s="785">
        <f t="shared" si="166"/>
        <v>0.38046249999999993</v>
      </c>
      <c r="H3106" s="95" t="str">
        <f t="shared" si="167"/>
        <v>380mVcal</v>
      </c>
      <c r="K3106" s="155"/>
      <c r="L3106" s="155"/>
      <c r="M3106" s="1"/>
      <c r="N3106" s="1"/>
      <c r="R3106" s="73"/>
      <c r="S3106" s="1"/>
      <c r="T3106" s="313"/>
      <c r="U3106" s="1"/>
      <c r="W3106" s="1"/>
      <c r="X3106" s="1"/>
    </row>
    <row r="3107" spans="2:24" ht="13.5" customHeight="1" x14ac:dyDescent="0.35">
      <c r="D3107">
        <f t="shared" si="168"/>
        <v>16</v>
      </c>
      <c r="E3107" s="391">
        <f t="shared" si="165"/>
        <v>0.20624999999999999</v>
      </c>
      <c r="G3107" s="785">
        <f t="shared" si="166"/>
        <v>0.18473124999999996</v>
      </c>
      <c r="H3107" s="95" t="str">
        <f t="shared" si="167"/>
        <v>180mVcal</v>
      </c>
      <c r="K3107" s="155"/>
      <c r="L3107" s="155"/>
      <c r="M3107" s="1"/>
      <c r="N3107" s="1"/>
      <c r="R3107" s="73"/>
      <c r="S3107" s="1"/>
      <c r="T3107" s="313"/>
      <c r="U3107" s="1"/>
      <c r="W3107" s="1"/>
      <c r="X3107" s="1"/>
    </row>
    <row r="3108" spans="2:24" ht="13.5" customHeight="1" x14ac:dyDescent="0.35">
      <c r="D3108">
        <f t="shared" si="168"/>
        <v>32</v>
      </c>
      <c r="E3108" s="391">
        <f t="shared" si="165"/>
        <v>0.10312499999999999</v>
      </c>
      <c r="G3108" s="785">
        <f t="shared" si="166"/>
        <v>8.6865624999999988E-2</v>
      </c>
      <c r="H3108" s="95" t="str">
        <f t="shared" si="167"/>
        <v>85mVcal</v>
      </c>
      <c r="K3108" s="155"/>
      <c r="L3108" s="155"/>
      <c r="M3108" s="1"/>
      <c r="N3108" s="1"/>
      <c r="R3108" s="73"/>
      <c r="S3108" s="1"/>
      <c r="T3108" s="313"/>
      <c r="U3108" s="1"/>
      <c r="W3108" s="1"/>
      <c r="X3108" s="1"/>
    </row>
    <row r="3109" spans="2:24" ht="13.5" customHeight="1" x14ac:dyDescent="0.35">
      <c r="D3109">
        <f t="shared" si="168"/>
        <v>64</v>
      </c>
      <c r="E3109" s="391">
        <f t="shared" si="165"/>
        <v>5.1562499999999997E-2</v>
      </c>
      <c r="G3109" s="785">
        <f t="shared" si="166"/>
        <v>3.7932812499999996E-2</v>
      </c>
      <c r="H3109" s="171" t="s">
        <v>7468</v>
      </c>
      <c r="K3109" s="155"/>
      <c r="L3109" s="155"/>
      <c r="M3109" s="1"/>
      <c r="N3109" s="1"/>
      <c r="R3109" s="73"/>
      <c r="S3109" s="1"/>
      <c r="T3109" s="313"/>
      <c r="U3109" s="1"/>
      <c r="W3109" s="1"/>
      <c r="X3109" s="1"/>
    </row>
    <row r="3110" spans="2:24" ht="13.5" customHeight="1" x14ac:dyDescent="0.35">
      <c r="D3110">
        <f t="shared" ref="D3110" si="169">D3109*2</f>
        <v>128</v>
      </c>
      <c r="E3110" s="391">
        <f t="shared" si="165"/>
        <v>2.5781249999999999E-2</v>
      </c>
      <c r="G3110" s="785">
        <f t="shared" si="166"/>
        <v>1.3466406249999997E-2</v>
      </c>
      <c r="H3110" s="95" t="str">
        <f>D3100</f>
        <v>13mVcal</v>
      </c>
      <c r="K3110" s="155"/>
      <c r="L3110" s="155"/>
      <c r="M3110" s="1"/>
      <c r="N3110" s="1"/>
      <c r="R3110" s="73"/>
      <c r="S3110" s="1"/>
      <c r="T3110" s="313"/>
      <c r="U3110" s="1"/>
      <c r="W3110" s="1"/>
      <c r="X3110" s="1"/>
    </row>
    <row r="3111" spans="2:24" ht="13.5" customHeight="1" x14ac:dyDescent="0.35">
      <c r="H3111" s="320"/>
      <c r="K3111" s="155"/>
      <c r="L3111" s="155"/>
      <c r="M3111" s="1"/>
      <c r="N3111" s="1"/>
      <c r="R3111" s="73"/>
      <c r="S3111" s="1"/>
      <c r="T3111" s="313"/>
      <c r="U3111" s="1"/>
      <c r="W3111" s="1"/>
      <c r="X3111" s="1"/>
    </row>
    <row r="3112" spans="2:24" ht="13.5" customHeight="1" x14ac:dyDescent="0.35">
      <c r="B3112" s="83" t="s">
        <v>7439</v>
      </c>
      <c r="D3112" t="s">
        <v>7440</v>
      </c>
      <c r="G3112" s="796">
        <v>0.01</v>
      </c>
      <c r="H3112" t="s">
        <v>1167</v>
      </c>
      <c r="I3112" t="s">
        <v>7441</v>
      </c>
      <c r="Q3112" s="155"/>
      <c r="R3112" s="155"/>
      <c r="S3112" s="1"/>
      <c r="T3112" s="1"/>
      <c r="U3112" s="1"/>
      <c r="W3112" s="1"/>
      <c r="X3112" s="1"/>
    </row>
    <row r="3113" spans="2:24" ht="13.5" customHeight="1" x14ac:dyDescent="0.35">
      <c r="G3113" s="296">
        <f>1%+50*25/1000000</f>
        <v>1.125E-2</v>
      </c>
      <c r="H3113" t="s">
        <v>1167</v>
      </c>
      <c r="I3113" t="s">
        <v>7442</v>
      </c>
      <c r="Q3113" s="155"/>
      <c r="R3113" s="155"/>
      <c r="S3113" s="1"/>
      <c r="T3113" s="1"/>
      <c r="U3113" s="1"/>
      <c r="W3113" s="1"/>
      <c r="X3113" s="1"/>
    </row>
    <row r="3114" spans="2:24" ht="13.5" customHeight="1" x14ac:dyDescent="0.35">
      <c r="G3114" s="296"/>
      <c r="Q3114" s="155"/>
      <c r="R3114" s="155"/>
      <c r="S3114" s="1"/>
      <c r="T3114" s="1"/>
      <c r="U3114" s="1"/>
      <c r="W3114" s="1"/>
      <c r="X3114" s="1"/>
    </row>
    <row r="3115" spans="2:24" ht="13.5" customHeight="1" x14ac:dyDescent="0.35">
      <c r="D3115" t="s">
        <v>7445</v>
      </c>
      <c r="G3115">
        <v>5</v>
      </c>
      <c r="H3115" t="s">
        <v>199</v>
      </c>
      <c r="I3115" t="s">
        <v>7443</v>
      </c>
      <c r="J3115" s="296"/>
      <c r="Q3115" s="155"/>
      <c r="R3115" s="155"/>
      <c r="S3115" s="1"/>
      <c r="T3115" s="1"/>
      <c r="U3115" s="1"/>
      <c r="W3115" s="1"/>
      <c r="X3115" s="1"/>
    </row>
    <row r="3116" spans="2:24" ht="13.5" customHeight="1" x14ac:dyDescent="0.35">
      <c r="G3116" s="796">
        <v>1E-3</v>
      </c>
      <c r="H3116" t="s">
        <v>1167</v>
      </c>
      <c r="I3116" t="s">
        <v>7444</v>
      </c>
      <c r="Q3116" s="155"/>
      <c r="R3116" s="155"/>
      <c r="S3116" s="1"/>
      <c r="T3116" s="1"/>
      <c r="U3116" s="1"/>
      <c r="W3116" s="1"/>
      <c r="X3116" s="1"/>
    </row>
    <row r="3117" spans="2:24" ht="13.5" customHeight="1" x14ac:dyDescent="0.35">
      <c r="H3117" s="320"/>
      <c r="K3117" s="155"/>
      <c r="L3117" s="155"/>
      <c r="M3117" s="1"/>
      <c r="N3117" s="1"/>
      <c r="R3117" s="73"/>
      <c r="S3117" s="1"/>
      <c r="T3117" s="313"/>
      <c r="U3117" s="1"/>
      <c r="W3117" s="1"/>
      <c r="X3117" s="1"/>
    </row>
    <row r="3118" spans="2:24" ht="13.5" customHeight="1" x14ac:dyDescent="0.35">
      <c r="B3118" s="83" t="s">
        <v>7382</v>
      </c>
      <c r="D3118" s="296">
        <f>I3139</f>
        <v>0.03</v>
      </c>
      <c r="E3118" t="str">
        <f>K3139</f>
        <v>a/d initial gain error (G = 1..16, 16bit a/d, resistors between ref input and measurement)</v>
      </c>
      <c r="F3118" s="155"/>
      <c r="H3118" s="320"/>
      <c r="K3118" s="155"/>
      <c r="L3118" s="155"/>
      <c r="M3118" s="1"/>
      <c r="N3118" s="1"/>
      <c r="R3118" s="73"/>
      <c r="S3118" s="1"/>
      <c r="T3118" s="313"/>
      <c r="U3118" s="1"/>
      <c r="W3118" s="1"/>
      <c r="X3118" s="1"/>
    </row>
    <row r="3119" spans="2:24" ht="13.5" customHeight="1" x14ac:dyDescent="0.35">
      <c r="B3119" s="83" t="s">
        <v>6541</v>
      </c>
      <c r="D3119" s="801">
        <f>G3112</f>
        <v>0.01</v>
      </c>
      <c r="E3119" s="155" t="s">
        <v>7437</v>
      </c>
      <c r="F3119" s="155"/>
      <c r="H3119" s="320"/>
      <c r="K3119" s="155"/>
      <c r="L3119" s="155"/>
      <c r="M3119" s="1"/>
      <c r="N3119" s="1"/>
      <c r="R3119" s="73"/>
      <c r="S3119" s="1"/>
      <c r="T3119" s="313"/>
      <c r="U3119" s="1"/>
      <c r="W3119" s="1"/>
      <c r="X3119" s="1"/>
    </row>
    <row r="3120" spans="2:24" ht="13.5" customHeight="1" x14ac:dyDescent="0.35">
      <c r="B3120" s="83" t="s">
        <v>7375</v>
      </c>
      <c r="D3120" s="801">
        <f>G3112</f>
        <v>0.01</v>
      </c>
      <c r="E3120" s="155" t="s">
        <v>7438</v>
      </c>
      <c r="F3120" s="155"/>
      <c r="H3120" s="320"/>
      <c r="K3120" s="155"/>
      <c r="L3120" s="155"/>
      <c r="M3120" s="1"/>
      <c r="N3120" s="1"/>
      <c r="R3120" s="73"/>
      <c r="S3120" s="1"/>
      <c r="T3120" s="313"/>
      <c r="U3120" s="1"/>
      <c r="W3120" s="1"/>
      <c r="X3120" s="1"/>
    </row>
    <row r="3121" spans="2:24" ht="13.5" customHeight="1" x14ac:dyDescent="0.35">
      <c r="D3121" s="800">
        <f>G2824</f>
        <v>1E-3</v>
      </c>
      <c r="E3121" s="232" t="s">
        <v>7366</v>
      </c>
      <c r="F3121" s="232"/>
      <c r="H3121" s="320"/>
      <c r="K3121" s="155"/>
      <c r="L3121" s="155"/>
      <c r="M3121" s="1"/>
      <c r="N3121" s="1"/>
      <c r="R3121" s="73"/>
      <c r="S3121" s="1"/>
      <c r="T3121" s="313"/>
      <c r="U3121" s="1"/>
      <c r="W3121" s="1"/>
      <c r="X3121" s="1"/>
    </row>
    <row r="3122" spans="2:24" ht="13.5" customHeight="1" x14ac:dyDescent="0.35">
      <c r="D3122" s="49">
        <f>SUM(D3118:D3121)</f>
        <v>5.1000000000000004E-2</v>
      </c>
      <c r="E3122" s="621" t="s">
        <v>7376</v>
      </c>
      <c r="F3122" s="155"/>
      <c r="H3122" s="320"/>
      <c r="K3122" s="155"/>
      <c r="L3122" s="155"/>
      <c r="M3122" s="1"/>
      <c r="N3122" s="1"/>
      <c r="R3122" s="73"/>
      <c r="S3122" s="1"/>
      <c r="T3122" s="313"/>
      <c r="U3122" s="1"/>
      <c r="W3122" s="1"/>
      <c r="X3122" s="1"/>
    </row>
    <row r="3123" spans="2:24" ht="13.5" customHeight="1" x14ac:dyDescent="0.35">
      <c r="D3123" s="49"/>
      <c r="E3123" s="621"/>
      <c r="F3123" s="155"/>
      <c r="H3123" s="320"/>
      <c r="K3123" s="155"/>
      <c r="L3123" s="155"/>
      <c r="M3123" s="1"/>
      <c r="N3123" s="1"/>
      <c r="R3123" s="73"/>
      <c r="S3123" s="1"/>
      <c r="T3123" s="313"/>
      <c r="U3123" s="1"/>
      <c r="W3123" s="1"/>
      <c r="X3123" s="1"/>
    </row>
    <row r="3124" spans="2:24" ht="13.5" customHeight="1" x14ac:dyDescent="0.35">
      <c r="D3124" s="782">
        <f>I3133*2</f>
        <v>0.01</v>
      </c>
      <c r="E3124" s="621" t="s">
        <v>2</v>
      </c>
      <c r="F3124" s="155" t="s">
        <v>7378</v>
      </c>
      <c r="H3124" s="320"/>
      <c r="K3124" s="155"/>
      <c r="L3124" s="155"/>
      <c r="M3124" s="1"/>
      <c r="N3124" s="1"/>
      <c r="R3124" s="73"/>
      <c r="S3124" s="1"/>
      <c r="T3124" s="313"/>
      <c r="U3124" s="1"/>
      <c r="W3124" s="1"/>
      <c r="X3124" s="1"/>
    </row>
    <row r="3125" spans="2:24" ht="13.5" customHeight="1" x14ac:dyDescent="0.35">
      <c r="D3125" s="797">
        <v>1E-3</v>
      </c>
      <c r="E3125" s="783" t="s">
        <v>2</v>
      </c>
      <c r="F3125" s="155" t="s">
        <v>7374</v>
      </c>
      <c r="H3125" s="320"/>
      <c r="K3125" s="155"/>
      <c r="L3125" s="155"/>
      <c r="M3125" s="1"/>
      <c r="N3125" s="1"/>
      <c r="R3125" s="73"/>
      <c r="S3125" s="1"/>
      <c r="T3125" s="313"/>
      <c r="U3125" s="1"/>
      <c r="W3125" s="1"/>
      <c r="X3125" s="1"/>
    </row>
    <row r="3126" spans="2:24" ht="13.5" customHeight="1" x14ac:dyDescent="0.35">
      <c r="D3126" s="784">
        <f>SUM(D3124:D3125)</f>
        <v>1.0999999999999999E-2</v>
      </c>
      <c r="E3126" s="621" t="s">
        <v>2</v>
      </c>
      <c r="F3126" s="621" t="s">
        <v>7377</v>
      </c>
      <c r="H3126" s="320"/>
      <c r="K3126" s="155"/>
      <c r="L3126" s="155"/>
      <c r="M3126" s="1"/>
      <c r="N3126" s="1"/>
      <c r="R3126" s="73"/>
      <c r="S3126" s="1"/>
      <c r="T3126" s="1"/>
      <c r="U3126" s="1"/>
      <c r="V3126" s="1"/>
      <c r="W3126" s="1"/>
      <c r="X3126" s="1"/>
    </row>
    <row r="3127" spans="2:24" ht="13.5" customHeight="1" x14ac:dyDescent="0.35">
      <c r="E3127" s="621"/>
      <c r="F3127" s="621"/>
      <c r="H3127" s="320"/>
      <c r="K3127" s="155"/>
      <c r="T3127" s="1"/>
      <c r="U3127" s="1"/>
      <c r="V3127" s="1"/>
      <c r="W3127" s="1"/>
      <c r="X3127" s="1"/>
    </row>
    <row r="3128" spans="2:24" ht="13.5" customHeight="1" x14ac:dyDescent="0.35">
      <c r="B3128" s="83" t="s">
        <v>7372</v>
      </c>
      <c r="D3128" s="725" t="s">
        <v>6568</v>
      </c>
      <c r="F3128" t="s">
        <v>7353</v>
      </c>
      <c r="I3128" s="681" t="str">
        <f>D1062</f>
        <v>MAX6070BAUT33+T</v>
      </c>
      <c r="L3128" s="798"/>
      <c r="M3128" s="788" t="s">
        <v>7435</v>
      </c>
      <c r="N3128" s="774"/>
      <c r="O3128" s="777"/>
      <c r="P3128" s="775"/>
      <c r="Q3128" s="799"/>
      <c r="S3128" s="1"/>
      <c r="T3128" s="313"/>
      <c r="U3128" s="1"/>
      <c r="W3128" s="1"/>
      <c r="X3128" s="1"/>
    </row>
    <row r="3129" spans="2:24" ht="27" customHeight="1" x14ac:dyDescent="0.35">
      <c r="D3129" s="725"/>
      <c r="F3129" t="s">
        <v>7350</v>
      </c>
      <c r="H3129" t="s">
        <v>2</v>
      </c>
      <c r="I3129" s="680">
        <v>3.3</v>
      </c>
      <c r="L3129" s="123" t="s">
        <v>7354</v>
      </c>
      <c r="M3129" s="123" t="s">
        <v>7360</v>
      </c>
      <c r="N3129" s="123" t="s">
        <v>7361</v>
      </c>
      <c r="O3129" s="123" t="s">
        <v>7355</v>
      </c>
      <c r="P3129" s="123" t="s">
        <v>7356</v>
      </c>
      <c r="Q3129" s="123" t="s">
        <v>7357</v>
      </c>
      <c r="T3129" s="313"/>
      <c r="U3129" s="1"/>
      <c r="W3129" s="1"/>
      <c r="X3129" s="1"/>
    </row>
    <row r="3130" spans="2:24" ht="13.5" customHeight="1" x14ac:dyDescent="0.35">
      <c r="D3130" s="725"/>
      <c r="F3130" t="s">
        <v>7351</v>
      </c>
      <c r="H3130" t="s">
        <v>7345</v>
      </c>
      <c r="I3130" s="680">
        <f>I1062</f>
        <v>8</v>
      </c>
      <c r="L3130" s="764">
        <f>I3129</f>
        <v>3.3</v>
      </c>
      <c r="M3130" s="764">
        <f>L$3130*(1+(I$3142*I$3130/1000000))</f>
        <v>3.3013199999999996</v>
      </c>
      <c r="N3130" s="764">
        <f>L$3130*(1-(I$3142*I$3130/1000000))</f>
        <v>3.2986800000000001</v>
      </c>
      <c r="O3130" s="773">
        <f>1000000*(M3130-L3130)</f>
        <v>1319.9999999997658</v>
      </c>
      <c r="P3130" s="395">
        <f>L3130/(O3130*0.000001)</f>
        <v>2500.0000000004434</v>
      </c>
      <c r="Q3130" s="778">
        <f>1/P3130</f>
        <v>3.9999999999992906E-4</v>
      </c>
      <c r="T3130" s="313"/>
      <c r="U3130" s="1"/>
      <c r="W3130" s="1"/>
      <c r="X3130" s="1"/>
    </row>
    <row r="3131" spans="2:24" ht="13.5" customHeight="1" x14ac:dyDescent="0.35">
      <c r="D3131" s="725"/>
      <c r="J3131" s="320"/>
      <c r="M3131" s="155"/>
      <c r="N3131" s="155"/>
      <c r="O3131" s="1"/>
      <c r="P3131" s="1"/>
      <c r="R3131" s="73"/>
      <c r="S3131" s="1"/>
      <c r="T3131" s="313"/>
      <c r="U3131" s="1"/>
      <c r="W3131" s="1"/>
      <c r="X3131" s="1"/>
    </row>
    <row r="3132" spans="2:24" ht="13.5" customHeight="1" x14ac:dyDescent="0.35">
      <c r="D3132" s="725" t="s">
        <v>3295</v>
      </c>
      <c r="F3132" t="s">
        <v>7353</v>
      </c>
      <c r="I3132" s="73" t="s">
        <v>7367</v>
      </c>
      <c r="J3132" s="320"/>
      <c r="M3132" s="155"/>
      <c r="N3132" s="155"/>
      <c r="O3132" s="1"/>
      <c r="P3132" s="1"/>
      <c r="R3132" s="73"/>
      <c r="S3132" s="1"/>
      <c r="T3132" s="313"/>
      <c r="U3132" s="1"/>
      <c r="W3132" s="1"/>
      <c r="X3132" s="1"/>
    </row>
    <row r="3133" spans="2:24" ht="13.5" customHeight="1" x14ac:dyDescent="0.35">
      <c r="D3133" s="725"/>
      <c r="F3133" t="s">
        <v>7368</v>
      </c>
      <c r="H3133" t="s">
        <v>2</v>
      </c>
      <c r="I3133" s="780">
        <v>5.0000000000000001E-3</v>
      </c>
      <c r="J3133" s="320"/>
      <c r="M3133" s="155"/>
      <c r="N3133" s="155"/>
      <c r="O3133" s="1"/>
      <c r="P3133" s="1"/>
      <c r="R3133" s="73"/>
      <c r="S3133" s="1"/>
      <c r="T3133" s="313"/>
      <c r="U3133" s="1"/>
      <c r="W3133" s="1"/>
      <c r="X3133" s="1"/>
    </row>
    <row r="3134" spans="2:24" ht="13.5" customHeight="1" x14ac:dyDescent="0.35">
      <c r="D3134" s="725"/>
      <c r="I3134" s="780"/>
      <c r="J3134" s="320"/>
      <c r="M3134" s="155"/>
      <c r="N3134" s="155"/>
      <c r="O3134" s="1"/>
      <c r="P3134" s="1"/>
      <c r="R3134" s="73"/>
      <c r="S3134" s="1"/>
      <c r="T3134" s="313"/>
      <c r="U3134" s="1"/>
      <c r="W3134" s="1"/>
      <c r="X3134" s="1"/>
    </row>
    <row r="3135" spans="2:24" ht="13.5" customHeight="1" x14ac:dyDescent="0.35">
      <c r="D3135" s="725" t="s">
        <v>7463</v>
      </c>
      <c r="F3135" t="s">
        <v>7353</v>
      </c>
      <c r="I3135" t="s">
        <v>7465</v>
      </c>
      <c r="J3135" s="320"/>
      <c r="M3135" s="155"/>
      <c r="N3135" s="155"/>
      <c r="O3135" s="1"/>
      <c r="P3135" s="1"/>
      <c r="R3135" s="73"/>
      <c r="S3135" s="1"/>
      <c r="T3135" s="313"/>
      <c r="U3135" s="1"/>
      <c r="W3135" s="1"/>
      <c r="X3135" s="1"/>
    </row>
    <row r="3136" spans="2:24" ht="13.5" customHeight="1" x14ac:dyDescent="0.35">
      <c r="D3136" s="725"/>
      <c r="F3136" t="s">
        <v>7464</v>
      </c>
      <c r="H3136" t="s">
        <v>6982</v>
      </c>
      <c r="I3136" s="780">
        <v>5</v>
      </c>
      <c r="J3136" s="320"/>
      <c r="M3136" s="155"/>
      <c r="N3136" s="155"/>
      <c r="O3136" s="1"/>
      <c r="P3136" s="1"/>
      <c r="R3136" s="73"/>
      <c r="S3136" s="1"/>
      <c r="T3136" s="313"/>
      <c r="U3136" s="1"/>
      <c r="W3136" s="1"/>
      <c r="X3136" s="1"/>
    </row>
    <row r="3137" spans="2:25" ht="13.5" customHeight="1" x14ac:dyDescent="0.35">
      <c r="D3137" s="725"/>
      <c r="J3137" s="320"/>
      <c r="M3137" s="155"/>
      <c r="N3137" s="155"/>
      <c r="O3137" s="1"/>
      <c r="P3137" s="1"/>
      <c r="R3137" s="73"/>
      <c r="S3137" s="1"/>
      <c r="T3137" s="313"/>
      <c r="U3137" s="1"/>
      <c r="W3137" s="1"/>
      <c r="X3137" s="1"/>
    </row>
    <row r="3138" spans="2:25" ht="13.5" customHeight="1" x14ac:dyDescent="0.35">
      <c r="D3138" s="725" t="s">
        <v>6626</v>
      </c>
      <c r="F3138" t="s">
        <v>7353</v>
      </c>
      <c r="I3138" s="73" t="s">
        <v>7370</v>
      </c>
      <c r="J3138" s="320"/>
      <c r="M3138" s="155"/>
      <c r="N3138" s="155"/>
      <c r="O3138" s="1"/>
      <c r="P3138" s="1"/>
      <c r="R3138" s="73"/>
      <c r="S3138" s="1"/>
      <c r="T3138" s="313"/>
      <c r="U3138" s="1"/>
      <c r="W3138" s="1"/>
      <c r="X3138" s="1"/>
    </row>
    <row r="3139" spans="2:25" ht="13.5" customHeight="1" x14ac:dyDescent="0.35">
      <c r="D3139" s="725"/>
      <c r="F3139" t="s">
        <v>7371</v>
      </c>
      <c r="I3139" s="779">
        <v>0.03</v>
      </c>
      <c r="J3139" s="320"/>
      <c r="K3139" s="155" t="s">
        <v>7369</v>
      </c>
      <c r="M3139" s="155"/>
      <c r="N3139" s="155"/>
      <c r="O3139" s="1"/>
      <c r="P3139" s="1"/>
      <c r="R3139" s="73"/>
      <c r="S3139" s="1"/>
      <c r="T3139" s="313"/>
      <c r="U3139" s="1"/>
      <c r="W3139" s="1"/>
      <c r="X3139" s="1"/>
    </row>
    <row r="3140" spans="2:25" ht="13.5" customHeight="1" x14ac:dyDescent="0.35">
      <c r="D3140" s="725"/>
      <c r="J3140" s="320"/>
      <c r="M3140" s="155"/>
      <c r="N3140" s="155"/>
      <c r="O3140" s="1"/>
      <c r="P3140" s="1"/>
      <c r="R3140" s="73"/>
      <c r="S3140" s="1"/>
      <c r="T3140" s="313"/>
      <c r="U3140" s="1"/>
      <c r="W3140" s="1"/>
      <c r="X3140" s="1"/>
    </row>
    <row r="3141" spans="2:25" ht="13.5" customHeight="1" x14ac:dyDescent="0.35">
      <c r="D3141" s="725" t="s">
        <v>7352</v>
      </c>
      <c r="F3141" t="s">
        <v>7344</v>
      </c>
      <c r="H3141" t="s">
        <v>7345</v>
      </c>
      <c r="I3141" s="781">
        <v>25</v>
      </c>
      <c r="K3141" s="155"/>
      <c r="L3141" s="155"/>
      <c r="M3141" s="1"/>
      <c r="N3141" s="1"/>
      <c r="S3141" s="1"/>
      <c r="T3141" s="313"/>
      <c r="U3141" s="1"/>
      <c r="W3141" s="1"/>
      <c r="X3141" s="1"/>
    </row>
    <row r="3142" spans="2:25" ht="13.5" customHeight="1" x14ac:dyDescent="0.35">
      <c r="F3142" t="s">
        <v>7362</v>
      </c>
      <c r="H3142" s="325" t="s">
        <v>7346</v>
      </c>
      <c r="I3142" s="171">
        <v>50</v>
      </c>
      <c r="K3142" s="7"/>
      <c r="L3142" s="7"/>
      <c r="M3142" s="7"/>
      <c r="N3142" s="7"/>
      <c r="O3142" s="7"/>
      <c r="P3142" s="7"/>
      <c r="Q3142" s="7"/>
      <c r="R3142" s="7"/>
      <c r="S3142" s="7"/>
      <c r="T3142" s="7"/>
      <c r="W3142" s="1"/>
      <c r="X3142" s="1"/>
    </row>
    <row r="3143" spans="2:25" ht="13.5" customHeight="1" x14ac:dyDescent="0.35">
      <c r="F3143" t="s">
        <v>7401</v>
      </c>
      <c r="H3143" t="s">
        <v>7402</v>
      </c>
      <c r="I3143" s="162">
        <f>I3141*I3142</f>
        <v>1250</v>
      </c>
      <c r="J3143" s="49">
        <f>I3143/1000000</f>
        <v>1.25E-3</v>
      </c>
      <c r="L3143" s="787"/>
      <c r="M3143" s="788" t="s">
        <v>7363</v>
      </c>
      <c r="N3143" s="774"/>
      <c r="O3143" s="777"/>
      <c r="P3143" s="775"/>
      <c r="Q3143" s="775"/>
      <c r="R3143" s="776"/>
      <c r="S3143" s="777"/>
      <c r="T3143" s="777"/>
      <c r="U3143" s="789"/>
      <c r="X3143" s="1"/>
    </row>
    <row r="3144" spans="2:25" ht="13.5" customHeight="1" x14ac:dyDescent="0.35">
      <c r="H3144" s="325"/>
      <c r="I3144" s="155"/>
      <c r="V3144" s="1"/>
      <c r="X3144" s="1"/>
    </row>
    <row r="3145" spans="2:25" ht="24.5" customHeight="1" x14ac:dyDescent="0.35">
      <c r="B3145" s="83" t="s">
        <v>7381</v>
      </c>
      <c r="D3145" s="123" t="s">
        <v>7400</v>
      </c>
      <c r="E3145" s="123"/>
      <c r="F3145" s="123" t="s">
        <v>7433</v>
      </c>
      <c r="G3145" s="123"/>
      <c r="H3145" s="123" t="s">
        <v>7349</v>
      </c>
      <c r="I3145" s="123" t="s">
        <v>7347</v>
      </c>
      <c r="J3145" s="123" t="s">
        <v>7348</v>
      </c>
      <c r="L3145" s="123" t="s">
        <v>7449</v>
      </c>
      <c r="M3145" s="123" t="s">
        <v>7358</v>
      </c>
      <c r="N3145" s="123" t="s">
        <v>7359</v>
      </c>
      <c r="P3145" s="123" t="s">
        <v>7446</v>
      </c>
      <c r="Q3145" s="123" t="s">
        <v>7360</v>
      </c>
      <c r="R3145" s="123" t="s">
        <v>7361</v>
      </c>
      <c r="S3145" s="123" t="s">
        <v>7355</v>
      </c>
      <c r="T3145" s="123" t="s">
        <v>7356</v>
      </c>
      <c r="U3145" s="123" t="s">
        <v>7357</v>
      </c>
      <c r="V3145" s="1"/>
      <c r="X3145" s="1"/>
    </row>
    <row r="3146" spans="2:25" ht="13.5" customHeight="1" x14ac:dyDescent="0.35">
      <c r="F3146" s="3"/>
      <c r="G3146" s="3" t="s">
        <v>2959</v>
      </c>
      <c r="L3146" s="768">
        <v>1</v>
      </c>
      <c r="M3146" s="1"/>
      <c r="P3146" s="771">
        <f>L3146*$I$3129</f>
        <v>3.3</v>
      </c>
      <c r="Q3146" s="771"/>
      <c r="R3146" s="772"/>
      <c r="S3146" s="313"/>
      <c r="V3146" s="1"/>
      <c r="X3146" s="1"/>
    </row>
    <row r="3147" spans="2:25" ht="13.5" customHeight="1" x14ac:dyDescent="0.35">
      <c r="D3147" s="95" t="str">
        <f>D3093</f>
        <v>3.3Vref</v>
      </c>
      <c r="F3147" s="3"/>
      <c r="G3147" s="3" t="s">
        <v>7325</v>
      </c>
      <c r="H3147">
        <v>0.33</v>
      </c>
      <c r="I3147" s="763">
        <f>H3147*(1+(($I$3141*$I$3142)/1000000))</f>
        <v>0.3304125</v>
      </c>
      <c r="J3147" s="763">
        <f>H3147*(1-(($I$3141*$I$3142)/1000000))</f>
        <v>0.32958750000000003</v>
      </c>
      <c r="L3147" s="768">
        <f>SUM(H3148:H$3150)/SUM(H$3147:H$3150)</f>
        <v>0.99997884660132186</v>
      </c>
      <c r="M3147" s="765">
        <f>SUM(I3148:I$3150)/(J3147+SUM(I3148:I$3150))</f>
        <v>0.99997889941768225</v>
      </c>
      <c r="N3147" s="766">
        <f>SUM(J3148:J$3150)/(I3147+SUM(J3148:J$3150))</f>
        <v>0.99997879365276099</v>
      </c>
      <c r="P3147" s="771">
        <f>L3147*$I$3129</f>
        <v>3.2999301937843621</v>
      </c>
      <c r="Q3147" s="771">
        <f t="shared" ref="Q3147:R3149" si="170">M3147*$I$3129</f>
        <v>3.2999303680783512</v>
      </c>
      <c r="R3147" s="771">
        <f t="shared" si="170"/>
        <v>3.299930019054111</v>
      </c>
      <c r="S3147" s="773">
        <f>1000000*(Q3147-P3147)</f>
        <v>0.17429398901924742</v>
      </c>
      <c r="T3147" s="395">
        <f>S3147/P3147</f>
        <v>5.2817477578023235E-2</v>
      </c>
      <c r="U3147" s="778">
        <v>0</v>
      </c>
      <c r="V3147" s="1"/>
      <c r="X3147" s="1"/>
    </row>
    <row r="3148" spans="2:25" ht="13.5" customHeight="1" x14ac:dyDescent="0.35">
      <c r="D3148" s="95" t="str">
        <f>H3103</f>
        <v>3.1Vcal_Buf</v>
      </c>
      <c r="F3148" s="786">
        <f>G3103</f>
        <v>3.1206999999999994</v>
      </c>
      <c r="G3148" s="3" t="s">
        <v>7326</v>
      </c>
      <c r="H3148" s="629">
        <f>S3153</f>
        <v>1000</v>
      </c>
      <c r="I3148" s="767">
        <f>H3148*(1+(($I$3141*$I$3142)/1000000))</f>
        <v>1001.25</v>
      </c>
      <c r="J3148" s="767">
        <f>H3148*(1-(($I$3141*$I$3142)/1000000))</f>
        <v>998.75</v>
      </c>
      <c r="L3148" s="768">
        <f>SUM(H3149:H$3150)/SUM(H$3147:H$3150)</f>
        <v>0.93587763848585259</v>
      </c>
      <c r="M3148" s="765">
        <f>SUM(I$3149:I$3150)/(SUM(J$3147:J$3148)+SUM(I$3149:I$3150))</f>
        <v>0.93602750189125439</v>
      </c>
      <c r="N3148" s="766">
        <f>SUM(J$3149:J$3150)/(SUM(I$3147:I$3148)+SUM(J$3149:J$3150))</f>
        <v>0.93572744811362063</v>
      </c>
      <c r="P3148" s="771">
        <f>L3148*$I$3129</f>
        <v>3.0883962070033135</v>
      </c>
      <c r="Q3148" s="771">
        <f t="shared" si="170"/>
        <v>3.0888907562411392</v>
      </c>
      <c r="R3148" s="771">
        <f t="shared" si="170"/>
        <v>3.0879005787749478</v>
      </c>
      <c r="S3148" s="773">
        <f>1000000*(Q3148-P3148)</f>
        <v>494.54923782565885</v>
      </c>
      <c r="T3148" s="395">
        <f>P3148/(S3148*0.000001)</f>
        <v>6244.8710275680405</v>
      </c>
      <c r="U3148" s="778">
        <f t="shared" ref="U3148:U3149" si="171">1/T3148</f>
        <v>1.6013140953359818E-4</v>
      </c>
      <c r="V3148" s="1"/>
      <c r="X3148" s="1"/>
    </row>
    <row r="3149" spans="2:25" ht="13.5" customHeight="1" x14ac:dyDescent="0.35">
      <c r="D3149" s="95" t="str">
        <f>H3105</f>
        <v>750mVcal_Buf</v>
      </c>
      <c r="F3149" s="786">
        <f>G3105</f>
        <v>0.77192499999999986</v>
      </c>
      <c r="G3149" s="3" t="s">
        <v>7327</v>
      </c>
      <c r="H3149" s="629">
        <f>S3154</f>
        <v>11000</v>
      </c>
      <c r="I3149" s="767">
        <f>H3149*(1+(($I$3141*$I$3142)/1000000))</f>
        <v>11013.75</v>
      </c>
      <c r="J3149" s="769">
        <f>H3149*(1-(($I$3141*$I$3142)/1000000))</f>
        <v>10986.25</v>
      </c>
      <c r="L3149" s="768">
        <f>SUM(H3150:H$3150)/SUM(H$3147:H$3150)</f>
        <v>0.23076434921568967</v>
      </c>
      <c r="M3149" s="765">
        <f>SUM(I$3150)/(SUM(J$3147:J$3149)+SUM(I$3150))</f>
        <v>0.23120842853151552</v>
      </c>
      <c r="N3149" s="770">
        <f>SUM(J$3150)/(SUM(I$3147:I$3149)+SUM(J$3150))</f>
        <v>0.23032086730767309</v>
      </c>
      <c r="P3149" s="771">
        <f>L3149*$I$3129</f>
        <v>0.7615223524117759</v>
      </c>
      <c r="Q3149" s="771">
        <f t="shared" si="170"/>
        <v>0.76298781415400119</v>
      </c>
      <c r="R3149" s="771">
        <f t="shared" si="170"/>
        <v>0.76005886211532114</v>
      </c>
      <c r="S3149" s="773">
        <f t="shared" ref="S3149" si="172">1000000*(Q3149-P3149)</f>
        <v>1465.4617422252825</v>
      </c>
      <c r="T3149" s="395">
        <f>P3149/(S3149*0.000001)</f>
        <v>519.64669596588396</v>
      </c>
      <c r="U3149" s="778">
        <f t="shared" si="171"/>
        <v>1.9243844091826044E-3</v>
      </c>
      <c r="V3149" s="1"/>
      <c r="X3149" s="1"/>
    </row>
    <row r="3150" spans="2:25" ht="13.5" customHeight="1" x14ac:dyDescent="0.35">
      <c r="F3150" s="3"/>
      <c r="G3150" s="3" t="s">
        <v>7328</v>
      </c>
      <c r="H3150" s="629">
        <f>T3154</f>
        <v>3600</v>
      </c>
      <c r="I3150" s="767">
        <f>H3150*(1+(($I$3141*$I$3142)/1000000))</f>
        <v>3604.5</v>
      </c>
      <c r="J3150" s="769">
        <f>H3150*(1-(($I$3141*$I$3142)/1000000))</f>
        <v>3595.5</v>
      </c>
      <c r="V3150" s="1"/>
      <c r="W3150" s="1"/>
      <c r="X3150" s="1"/>
    </row>
    <row r="3151" spans="2:25" ht="13.5" customHeight="1" x14ac:dyDescent="0.35">
      <c r="D3151" s="725"/>
      <c r="I3151" s="780"/>
      <c r="J3151" s="320"/>
      <c r="M3151" s="155"/>
      <c r="N3151" s="155"/>
      <c r="O3151" s="1"/>
      <c r="P3151" s="1"/>
      <c r="R3151" s="73"/>
      <c r="S3151" s="1"/>
      <c r="T3151" s="313"/>
      <c r="U3151" s="1"/>
      <c r="W3151" s="1"/>
      <c r="X3151" s="1"/>
    </row>
    <row r="3152" spans="2:25" ht="25" customHeight="1" x14ac:dyDescent="0.35">
      <c r="B3152" s="83" t="s">
        <v>7458</v>
      </c>
      <c r="D3152" s="123" t="s">
        <v>7400</v>
      </c>
      <c r="F3152" s="123" t="s">
        <v>7448</v>
      </c>
      <c r="G3152" s="123" t="s">
        <v>7452</v>
      </c>
      <c r="H3152" s="123" t="s">
        <v>7453</v>
      </c>
      <c r="J3152" s="123" t="s">
        <v>7433</v>
      </c>
      <c r="L3152" s="123" t="s">
        <v>7450</v>
      </c>
      <c r="M3152" s="123" t="s">
        <v>7451</v>
      </c>
      <c r="O3152" s="123" t="s">
        <v>2188</v>
      </c>
      <c r="P3152" s="123" t="s">
        <v>7466</v>
      </c>
      <c r="Q3152" s="123" t="s">
        <v>7467</v>
      </c>
      <c r="S3152" s="123" t="s">
        <v>7428</v>
      </c>
      <c r="T3152" s="123" t="s">
        <v>7429</v>
      </c>
      <c r="U3152" s="123" t="s">
        <v>7432</v>
      </c>
      <c r="W3152" s="123" t="s">
        <v>7447</v>
      </c>
      <c r="X3152" s="123" t="s">
        <v>7430</v>
      </c>
      <c r="Y3152" s="123" t="s">
        <v>7431</v>
      </c>
    </row>
    <row r="3153" spans="2:25" ht="13.5" customHeight="1" x14ac:dyDescent="0.35">
      <c r="D3153" s="326" t="str">
        <f>H3103</f>
        <v>3.1Vcal_Buf</v>
      </c>
      <c r="E3153" s="297"/>
      <c r="F3153" s="178">
        <f>AVERAGE(L3153:M3153)*W3153</f>
        <v>3.0884615384615381</v>
      </c>
      <c r="G3153" s="10">
        <f>AVERAGE($L3153:$M3153)*X3153-((P3153/1000000)+Q3153)</f>
        <v>3.0809732516919111</v>
      </c>
      <c r="H3153" s="10">
        <f>AVERAGE($L3153:$M3153)*Y3153+(P3153/1000000)</f>
        <v>3.0909228562320687</v>
      </c>
      <c r="J3153" s="10">
        <f>G3103</f>
        <v>3.1206999999999994</v>
      </c>
      <c r="L3153" s="391">
        <f>G3093</f>
        <v>3.2903799999999999</v>
      </c>
      <c r="M3153" s="391">
        <f>H3093</f>
        <v>3.3096199999999998</v>
      </c>
      <c r="O3153" s="15">
        <f>1000000*AVERAGE(L3153:M3153)/(S3153+T3153)</f>
        <v>211.53846153846155</v>
      </c>
      <c r="P3153" s="414"/>
      <c r="Q3153">
        <f>I3133</f>
        <v>5.0000000000000001E-3</v>
      </c>
      <c r="S3153" s="639">
        <v>1000</v>
      </c>
      <c r="T3153" s="629">
        <f>SUM(S3154:T3154)</f>
        <v>14600</v>
      </c>
      <c r="U3153" s="296">
        <f t="shared" ref="U3153:U3154" si="173">0.5%+(25*50/1000000)</f>
        <v>6.2500000000000003E-3</v>
      </c>
      <c r="W3153">
        <f>T3153 /(S3153 +T3153 )</f>
        <v>0.9358974358974359</v>
      </c>
      <c r="X3153">
        <f>T3153*(1-U3153)/(S3153*(1+U3153)+T3153*(1-U3153))</f>
        <v>0.93514340960360942</v>
      </c>
      <c r="Y3153">
        <f>T3153*(1+U3153)/(S3153*(1-U3153)+T3153*(1+U3153))</f>
        <v>0.93664328976729361</v>
      </c>
    </row>
    <row r="3154" spans="2:25" ht="13.5" customHeight="1" x14ac:dyDescent="0.35">
      <c r="D3154" s="326" t="str">
        <f>H3105</f>
        <v>750mVcal_Buf</v>
      </c>
      <c r="E3154" s="297"/>
      <c r="F3154" s="178">
        <f>AVERAGE(L3154:M3154)*W3154</f>
        <v>0.7615384615384615</v>
      </c>
      <c r="G3154" s="10">
        <f>AVERAGE($L3154:$M3154)*X3154-((P3154/1000000)+Q3154)</f>
        <v>0.74924053665548618</v>
      </c>
      <c r="H3154" s="10">
        <f>AVERAGE($L3154:$M3154)*Y3154+(P3154/1000000)</f>
        <v>0.76888567293777144</v>
      </c>
      <c r="J3154" s="10">
        <f>G3105</f>
        <v>0.77192499999999986</v>
      </c>
      <c r="L3154" s="391">
        <f>L3153</f>
        <v>3.2903799999999999</v>
      </c>
      <c r="M3154" s="391">
        <f>M3153</f>
        <v>3.3096199999999998</v>
      </c>
      <c r="O3154" s="15">
        <f>O3153</f>
        <v>211.53846153846155</v>
      </c>
      <c r="P3154" s="414"/>
      <c r="Q3154">
        <f>I3133</f>
        <v>5.0000000000000001E-3</v>
      </c>
      <c r="S3154" s="639">
        <v>11000</v>
      </c>
      <c r="T3154" s="639">
        <v>3600</v>
      </c>
      <c r="U3154" s="296">
        <f t="shared" si="173"/>
        <v>6.2500000000000003E-3</v>
      </c>
      <c r="W3154" s="792">
        <f>T3154 /(S3153+S3154 +T3154 )</f>
        <v>0.23076923076923078</v>
      </c>
      <c r="X3154">
        <f>T3154*(1-U3154)/((S3153+S3154)*(1+U3154)+T3154*(1-U3154))</f>
        <v>0.22855773838045038</v>
      </c>
      <c r="Y3154">
        <f>T3154*(1+U3154)/((S3153+S3154)*(1-U3154)+T3154*(1+U3154))</f>
        <v>0.23299565846599135</v>
      </c>
    </row>
    <row r="3155" spans="2:25" ht="13.5" customHeight="1" x14ac:dyDescent="0.35">
      <c r="D3155" s="326"/>
      <c r="E3155" s="297"/>
      <c r="F3155" s="178"/>
      <c r="G3155" s="10"/>
      <c r="H3155" s="10"/>
      <c r="J3155" s="10"/>
      <c r="L3155" s="391"/>
      <c r="M3155" s="391"/>
      <c r="O3155" s="15"/>
      <c r="P3155" s="414"/>
      <c r="S3155" s="639"/>
      <c r="T3155" s="639"/>
      <c r="U3155" s="296"/>
      <c r="W3155" s="792"/>
    </row>
    <row r="3156" spans="2:25" ht="13.5" customHeight="1" x14ac:dyDescent="0.35">
      <c r="D3156" s="95" t="str">
        <f>H3104</f>
        <v>1.5Vcal</v>
      </c>
      <c r="F3156" s="178">
        <f>AVERAGE($L3156:$M3156)*W3156</f>
        <v>1.5429740269809948</v>
      </c>
      <c r="G3156" s="10">
        <f>AVERAGE($L3156:$M3156)*X3156-((P3156/1000000)+Q3156)</f>
        <v>1.5333069393123637</v>
      </c>
      <c r="H3156" s="10">
        <f>AVERAGE($L3156:$M3156)*Y3156+(P3156/1000000)</f>
        <v>1.5526411146496262</v>
      </c>
      <c r="J3156" s="10">
        <f>G3104</f>
        <v>1.5548499999999998</v>
      </c>
      <c r="L3156" s="391">
        <f>G3094</f>
        <v>3.0809732516919111</v>
      </c>
      <c r="M3156" s="391">
        <f>H3094</f>
        <v>3.0909228562320687</v>
      </c>
      <c r="O3156" s="15">
        <f>1000000*AVERAGE(L3156:M3156)/(S3156+T3156)</f>
        <v>328.29234616616907</v>
      </c>
      <c r="P3156" s="414">
        <f>1000000*($I$3136/1000000000)*T3156</f>
        <v>23.5</v>
      </c>
      <c r="S3156" s="639">
        <v>4700</v>
      </c>
      <c r="T3156" s="639">
        <v>4700</v>
      </c>
      <c r="U3156" s="296">
        <f>0.5%+(25*50/1000000)</f>
        <v>6.2500000000000003E-3</v>
      </c>
      <c r="W3156" s="792">
        <f>T3156 /(S3156 +T3156 )</f>
        <v>0.5</v>
      </c>
      <c r="X3156">
        <f>T3156*(1-U3156)/(S3156*(1+U3156)+T3156*(1-U3156))</f>
        <v>0.49687500000000001</v>
      </c>
      <c r="Y3156">
        <f>T3156*(1+U3156)/(S3156*(1-U3156)+T3156*(1+U3156))</f>
        <v>0.50312500000000004</v>
      </c>
    </row>
    <row r="3157" spans="2:25" ht="13.5" customHeight="1" x14ac:dyDescent="0.35">
      <c r="D3157" s="95"/>
      <c r="F3157" s="178"/>
      <c r="G3157" s="10"/>
      <c r="H3157" s="10"/>
      <c r="J3157" s="10"/>
      <c r="L3157" s="391"/>
      <c r="M3157" s="391"/>
      <c r="O3157" s="15"/>
      <c r="P3157" s="414"/>
      <c r="S3157" s="639"/>
      <c r="T3157" s="639"/>
      <c r="U3157" s="296"/>
      <c r="W3157" s="792"/>
    </row>
    <row r="3158" spans="2:25" ht="13.5" customHeight="1" x14ac:dyDescent="0.35">
      <c r="D3158" s="95" t="str">
        <f>H3106</f>
        <v>380mVcal</v>
      </c>
      <c r="F3158" s="178">
        <f>AVERAGE(L3158:M3158)*W3158</f>
        <v>0.37079553201062943</v>
      </c>
      <c r="G3158" s="178">
        <f>AVERAGE($L3158:$M3158)*X3158-((P3158/1000000)+Q3158)</f>
        <v>0.3684155076095002</v>
      </c>
      <c r="H3158" s="178">
        <f>AVERAGE($L3158:$M3158)*Y3158+(P3158/1000000)</f>
        <v>0.37317623855175996</v>
      </c>
      <c r="J3158" s="10">
        <f>G3106</f>
        <v>0.38046249999999993</v>
      </c>
      <c r="L3158" s="391">
        <f>G3096</f>
        <v>0.74924053665548618</v>
      </c>
      <c r="M3158" s="391">
        <f>H3096</f>
        <v>0.76888567293777144</v>
      </c>
      <c r="O3158" s="15">
        <f>1000000*AVERAGE(L3158:M3158)/(S3158+T3158)</f>
        <v>194.13378639299967</v>
      </c>
      <c r="P3158" s="414">
        <f>1000000*($I$3136/1000000000)*T3158</f>
        <v>9.5500000000000007</v>
      </c>
      <c r="S3158" s="639">
        <v>2000</v>
      </c>
      <c r="T3158" s="629">
        <f>SUM(S3159:T3159)</f>
        <v>1910</v>
      </c>
      <c r="U3158" s="296">
        <f>0.5%+(25*50/1000000)</f>
        <v>6.2500000000000003E-3</v>
      </c>
      <c r="W3158">
        <f>T3158 /(S3158 +T3158 )</f>
        <v>0.48849104859335041</v>
      </c>
      <c r="X3158">
        <f>T3158*(1-U3158)/(S3158*(1+U3158)+T3158*(1-U3158))</f>
        <v>0.48536815355847146</v>
      </c>
      <c r="Y3158">
        <f>T3158*(1+U3158)/(S3158*(1-U3158)+T3158*(1+U3158))</f>
        <v>0.49161484228869251</v>
      </c>
    </row>
    <row r="3159" spans="2:25" ht="13.5" customHeight="1" x14ac:dyDescent="0.35">
      <c r="D3159" s="95" t="str">
        <f>H3107</f>
        <v>180mVcal</v>
      </c>
      <c r="F3159" s="178">
        <f>AVERAGE(L3159:M3159)*W3159</f>
        <v>0.17666174561762971</v>
      </c>
      <c r="G3159" s="178">
        <f>AVERAGE($L3159:$M3159)*X3159-((P3159/1000000)+Q3159)</f>
        <v>0.17496851095847346</v>
      </c>
      <c r="H3159" s="178">
        <f>AVERAGE($L3159:$M3159)*Y3159+(P3159/1000000)</f>
        <v>0.17836630118884073</v>
      </c>
      <c r="J3159" s="10">
        <f>G3107</f>
        <v>0.18473124999999996</v>
      </c>
      <c r="L3159" s="391">
        <f>L3158</f>
        <v>0.74924053665548618</v>
      </c>
      <c r="M3159" s="391">
        <f>M3158</f>
        <v>0.76888567293777144</v>
      </c>
      <c r="O3159" s="15">
        <f>O3158</f>
        <v>194.13378639299967</v>
      </c>
      <c r="P3159" s="414">
        <f>1000000*($I$3136/1000000000)*T3159</f>
        <v>4.55</v>
      </c>
      <c r="S3159" s="639">
        <v>1000</v>
      </c>
      <c r="T3159" s="639">
        <v>910</v>
      </c>
      <c r="U3159" s="296">
        <f>0.5%+(25*50/1000000)</f>
        <v>6.2500000000000003E-3</v>
      </c>
      <c r="W3159" s="792">
        <f>T3159 /(S3158+S3159 +T3159 )</f>
        <v>0.23273657289002558</v>
      </c>
      <c r="X3159">
        <f>T3159*(1-U3159)/((S3158+S3159)*(1+U3159)+T3159*(1-U3159))</f>
        <v>0.23051187688190028</v>
      </c>
      <c r="Y3159">
        <f>T3159*(1+U3159)/((S3158+S3159)*(1-U3159)+T3159*(1+U3159))</f>
        <v>0.23497618322079841</v>
      </c>
    </row>
    <row r="3160" spans="2:25" ht="13.5" customHeight="1" x14ac:dyDescent="0.35">
      <c r="D3160" s="95"/>
      <c r="F3160" s="178"/>
      <c r="G3160" s="10"/>
      <c r="H3160" s="10"/>
      <c r="J3160" s="10"/>
      <c r="L3160" s="391"/>
      <c r="M3160" s="391"/>
      <c r="O3160" s="15"/>
      <c r="P3160" s="414"/>
      <c r="S3160" s="639"/>
      <c r="T3160" s="639"/>
      <c r="U3160" s="296"/>
      <c r="W3160" s="792"/>
    </row>
    <row r="3161" spans="2:25" ht="13.5" customHeight="1" x14ac:dyDescent="0.35">
      <c r="D3161" s="95" t="str">
        <f>H3108</f>
        <v>85mVcal</v>
      </c>
      <c r="F3161" s="178">
        <f>AVERAGE(L3161:M3161)*W3161</f>
        <v>8.2922860187867001E-2</v>
      </c>
      <c r="G3161" s="178">
        <f>AVERAGE($L3161:$M3161)*X3161-((P3161/1000000)+Q3161)</f>
        <v>8.2000797332599767E-2</v>
      </c>
      <c r="H3161" s="178">
        <f>AVERAGE($L3161:$M3161)*Y3161+(P3161/1000000)</f>
        <v>8.3853942898049524E-2</v>
      </c>
      <c r="J3161" s="10">
        <f>G3108</f>
        <v>8.6865624999999988E-2</v>
      </c>
      <c r="L3161" s="391">
        <f>L3159</f>
        <v>0.74924053665548618</v>
      </c>
      <c r="M3161" s="391">
        <f>M3159</f>
        <v>0.76888567293777144</v>
      </c>
      <c r="O3161" s="15">
        <f>1000000*AVERAGE(L3161:M3161)/(S3161+T3161)</f>
        <v>127.57363105825692</v>
      </c>
      <c r="P3161" s="414">
        <f>1000000*($I$3136/1000000000)*T3161</f>
        <v>3.25</v>
      </c>
      <c r="S3161" s="639">
        <v>5300</v>
      </c>
      <c r="T3161" s="629">
        <f>SUM(S3162:T3162)</f>
        <v>650</v>
      </c>
      <c r="U3161" s="296">
        <f t="shared" ref="U3161:U3162" si="174">0.5%+(25*50/1000000)</f>
        <v>6.2500000000000003E-3</v>
      </c>
      <c r="W3161" s="792">
        <f>T3161 /(S3161 +T3161 )</f>
        <v>0.1092436974789916</v>
      </c>
      <c r="X3161">
        <f>T3161*(1-U3161)/(S3161*(1+U3161)+T3161*(1-U3161))</f>
        <v>0.1080332409972299</v>
      </c>
      <c r="Y3161">
        <f>T3161*(1+U3161)/(S3161*(1-U3161)+T3161*(1+U3161))</f>
        <v>0.11046603683960524</v>
      </c>
    </row>
    <row r="3162" spans="2:25" ht="13.5" customHeight="1" x14ac:dyDescent="0.35">
      <c r="D3162" s="95" t="str">
        <f>H3110</f>
        <v>13mVcal</v>
      </c>
      <c r="F3162" s="178">
        <f>AVERAGE(L3162:M3162)*W3162</f>
        <v>1.1481626795243125E-2</v>
      </c>
      <c r="G3162" s="178">
        <f>AVERAGE($L3162:$M3162)*X3162-((P3162/1000000)+Q3162)</f>
        <v>1.1340678903222856E-2</v>
      </c>
      <c r="H3162" s="178">
        <f>AVERAGE($L3162:$M3162)*Y3162+(P3162/1000000)</f>
        <v>1.1624288166728124E-2</v>
      </c>
      <c r="J3162" s="10">
        <f>G3110</f>
        <v>1.3466406249999997E-2</v>
      </c>
      <c r="L3162" s="391">
        <f t="shared" ref="L3162" si="175">L3161</f>
        <v>0.74924053665548618</v>
      </c>
      <c r="M3162" s="391">
        <f t="shared" ref="M3162" si="176">M3161</f>
        <v>0.76888567293777144</v>
      </c>
      <c r="O3162" s="15">
        <f>O3161</f>
        <v>127.57363105825692</v>
      </c>
      <c r="P3162" s="414">
        <f>1000000*($I$3136/1000000000)*T3162</f>
        <v>0.45</v>
      </c>
      <c r="S3162" s="639">
        <v>560</v>
      </c>
      <c r="T3162" s="639">
        <v>90</v>
      </c>
      <c r="U3162" s="296">
        <f t="shared" si="174"/>
        <v>6.2500000000000003E-3</v>
      </c>
      <c r="W3162" s="792">
        <f>T3162 /(S3161+S3162 +T3162 )</f>
        <v>1.5126050420168067E-2</v>
      </c>
      <c r="X3162">
        <f>T3162*(1-U3162)/((S3161+S3162)*(1+U3162)+T3162*(1-U3162))</f>
        <v>1.4940956597095333E-2</v>
      </c>
      <c r="Y3162">
        <f>T3162*(1+U3162)/((S3161+S3162)*(1-U3162)+T3162*(1+U3162))</f>
        <v>1.5313401604261123E-2</v>
      </c>
    </row>
    <row r="3163" spans="2:25" ht="13.5" customHeight="1" x14ac:dyDescent="0.35">
      <c r="D3163" s="95"/>
      <c r="F3163" s="178"/>
      <c r="G3163" s="178"/>
      <c r="H3163" s="178"/>
      <c r="J3163" s="10"/>
      <c r="L3163" s="391"/>
      <c r="M3163" s="391"/>
      <c r="O3163" s="15"/>
      <c r="P3163" s="414"/>
      <c r="S3163" s="639"/>
      <c r="T3163" s="639"/>
      <c r="U3163" s="296"/>
      <c r="W3163" s="792"/>
    </row>
    <row r="3164" spans="2:25" ht="13.5" customHeight="1" x14ac:dyDescent="0.35">
      <c r="B3164" s="83" t="s">
        <v>7478</v>
      </c>
      <c r="D3164" s="95" t="s">
        <v>7485</v>
      </c>
      <c r="F3164" s="178"/>
      <c r="G3164" s="178"/>
      <c r="H3164" s="178"/>
      <c r="J3164" s="10"/>
      <c r="L3164" s="391"/>
      <c r="M3164" s="391"/>
      <c r="O3164" s="15"/>
      <c r="P3164" s="414"/>
      <c r="S3164" s="639"/>
      <c r="T3164" s="639"/>
      <c r="U3164" s="296"/>
      <c r="W3164" s="792"/>
    </row>
    <row r="3165" spans="2:25" ht="13.5" customHeight="1" x14ac:dyDescent="0.35">
      <c r="D3165" s="95"/>
      <c r="F3165" s="178"/>
      <c r="G3165" s="178"/>
      <c r="H3165" s="178"/>
      <c r="J3165" s="10"/>
      <c r="L3165" s="391"/>
      <c r="M3165" s="391"/>
      <c r="O3165" s="15"/>
      <c r="P3165" s="414"/>
      <c r="S3165" s="639"/>
      <c r="T3165" s="639"/>
      <c r="U3165" s="296"/>
      <c r="W3165" s="792"/>
    </row>
    <row r="3166" spans="2:25" ht="23.5" customHeight="1" x14ac:dyDescent="0.35">
      <c r="D3166" s="630" t="s">
        <v>7400</v>
      </c>
      <c r="F3166" s="123" t="s">
        <v>7448</v>
      </c>
      <c r="G3166" s="123" t="s">
        <v>7452</v>
      </c>
      <c r="H3166" s="123" t="s">
        <v>7453</v>
      </c>
      <c r="J3166" s="630" t="s">
        <v>7457</v>
      </c>
      <c r="L3166" s="123" t="s">
        <v>7450</v>
      </c>
      <c r="M3166" s="123" t="s">
        <v>7451</v>
      </c>
      <c r="O3166" s="123" t="s">
        <v>2188</v>
      </c>
      <c r="P3166" s="123" t="s">
        <v>7466</v>
      </c>
      <c r="Q3166" s="123" t="s">
        <v>7467</v>
      </c>
      <c r="S3166" s="123" t="s">
        <v>7428</v>
      </c>
      <c r="T3166" s="123" t="s">
        <v>7429</v>
      </c>
      <c r="U3166" s="123" t="s">
        <v>7432</v>
      </c>
      <c r="W3166" s="123" t="s">
        <v>7447</v>
      </c>
      <c r="X3166" s="123" t="s">
        <v>7430</v>
      </c>
      <c r="Y3166" s="123" t="s">
        <v>7431</v>
      </c>
    </row>
    <row r="3167" spans="2:25" ht="13.5" customHeight="1" x14ac:dyDescent="0.35">
      <c r="D3167" s="171" t="s">
        <v>7480</v>
      </c>
      <c r="E3167" s="297"/>
      <c r="F3167" s="11">
        <f>AVERAGE($L3167:$M3167)*W3167</f>
        <v>2.8109028960817715</v>
      </c>
      <c r="G3167" s="11">
        <f>AVERAGE($L3167:$M3167)*X3167-((P3167/1000000)+Q3167)</f>
        <v>2.8056223026083611</v>
      </c>
      <c r="H3167" s="11">
        <f>AVERAGE($L3167:$M3167)*Y3167+(P3167/1000000)</f>
        <v>2.8161376893557928</v>
      </c>
      <c r="J3167" s="802" t="s">
        <v>7482</v>
      </c>
      <c r="L3167" s="391">
        <f t="shared" ref="L3167:M3169" si="177">G$3093</f>
        <v>3.2903799999999999</v>
      </c>
      <c r="M3167" s="391">
        <f t="shared" si="177"/>
        <v>3.3096199999999998</v>
      </c>
      <c r="O3167" s="15">
        <f>1000000*AVERAGE(L3167:M3167)/(S3167+T3167)</f>
        <v>281.09028960817716</v>
      </c>
      <c r="P3167" s="414">
        <f>1000000*($I$3136/1000000000)*T3167</f>
        <v>50</v>
      </c>
      <c r="S3167" s="639">
        <v>1740</v>
      </c>
      <c r="T3167" s="639">
        <v>10000</v>
      </c>
      <c r="U3167" s="296">
        <f>0.5%+(25*50/1000000)</f>
        <v>6.2500000000000003E-3</v>
      </c>
      <c r="W3167" s="792">
        <f>T3167 /(S3167 +T3167 )</f>
        <v>0.85178875638841567</v>
      </c>
      <c r="X3167">
        <f>T3167*(1-U3167)/(S3167*(1+U3167)+T3167*(1-U3167))</f>
        <v>0.85020372806313971</v>
      </c>
      <c r="Y3167">
        <f>T3167*(1+U3167)/(S3167*(1-U3167)+T3167*(1+U3167))</f>
        <v>0.85335990586539179</v>
      </c>
    </row>
    <row r="3168" spans="2:25" ht="13.5" customHeight="1" x14ac:dyDescent="0.35">
      <c r="D3168" s="171" t="s">
        <v>7479</v>
      </c>
      <c r="E3168" s="297"/>
      <c r="F3168" s="11">
        <f>AVERAGE($L3168:$M3168)*W3168</f>
        <v>9.424907713231008E-2</v>
      </c>
      <c r="G3168" s="11">
        <f>AVERAGE($L3168:$M3168)*X3168-((P3168/1000000)+Q3168)</f>
        <v>9.3109845796144966E-2</v>
      </c>
      <c r="H3168" s="11">
        <f>AVERAGE($L3168:$M3168)*Y3168+(P3168/1000000)</f>
        <v>9.540179760572981E-2</v>
      </c>
      <c r="J3168" s="803" t="s">
        <v>7481</v>
      </c>
      <c r="L3168" s="391">
        <f t="shared" si="177"/>
        <v>3.2903799999999999</v>
      </c>
      <c r="M3168" s="391">
        <f t="shared" si="177"/>
        <v>3.3096199999999998</v>
      </c>
      <c r="O3168" s="15">
        <f>1000000*AVERAGE(L3168:M3168)/(S3168+T3168)</f>
        <v>320.57509228676901</v>
      </c>
      <c r="P3168" s="414">
        <f>1000000*($I$3136/1000000000)*T3168</f>
        <v>1.47</v>
      </c>
      <c r="S3168" s="639">
        <v>10000</v>
      </c>
      <c r="T3168" s="639">
        <v>294</v>
      </c>
      <c r="U3168" s="296">
        <f>0.5%+(25*50/1000000)</f>
        <v>6.2500000000000003E-3</v>
      </c>
      <c r="W3168" s="792">
        <f>T3168 /(S3168 +T3168 )</f>
        <v>2.8560326403730327E-2</v>
      </c>
      <c r="X3168">
        <f>T3168*(1-U3168)/(S3168*(1+U3168)+T3168*(1-U3168))</f>
        <v>2.8215550241256052E-2</v>
      </c>
      <c r="Y3168">
        <f>T3168*(1+U3168)/(S3168*(1-U3168)+T3168*(1+U3168))</f>
        <v>2.8909190183554489E-2</v>
      </c>
    </row>
    <row r="3169" spans="1:28" ht="13.5" customHeight="1" x14ac:dyDescent="0.35">
      <c r="D3169" s="171" t="s">
        <v>7483</v>
      </c>
      <c r="E3169" s="297"/>
      <c r="F3169" s="11">
        <f>AVERAGE($L3169:$M3169)*W3169</f>
        <v>0.22020531964535695</v>
      </c>
      <c r="G3169" s="11">
        <f>AVERAGE($L3169:$M3169)*X3169-((P3169/1000000)+Q3169)</f>
        <v>0.21764669172506865</v>
      </c>
      <c r="H3169" s="11">
        <f>AVERAGE($L3169:$M3169)*Y3169+(P3169/1000000)</f>
        <v>0.22279177403642869</v>
      </c>
      <c r="J3169" s="803" t="s">
        <v>7484</v>
      </c>
      <c r="L3169" s="391">
        <f t="shared" si="177"/>
        <v>3.2903799999999999</v>
      </c>
      <c r="M3169" s="391">
        <f t="shared" si="177"/>
        <v>3.3096199999999998</v>
      </c>
      <c r="O3169" s="15">
        <f>1000000*AVERAGE(L3169:M3169)/(S3169+T3169)</f>
        <v>307.97946803546432</v>
      </c>
      <c r="P3169" s="414">
        <f>1000000*($I$3136/1000000000)*T3169</f>
        <v>3.5750000000000002</v>
      </c>
      <c r="S3169" s="639">
        <v>10000</v>
      </c>
      <c r="T3169" s="639">
        <v>715</v>
      </c>
      <c r="U3169" s="296">
        <f>0.5%+(25*50/1000000)</f>
        <v>6.2500000000000003E-3</v>
      </c>
      <c r="W3169" s="792">
        <f>T3169 /(S3169 +T3169 )</f>
        <v>6.6728884741017264E-2</v>
      </c>
      <c r="X3169">
        <f>T3169*(1-U3169)/(S3169*(1+U3169)+T3169*(1-U3169))</f>
        <v>6.5954626280323836E-2</v>
      </c>
      <c r="Y3169">
        <f>T3169*(1+U3169)/(S3169*(1-U3169)+T3169*(1+U3169))</f>
        <v>6.751157546558445E-2</v>
      </c>
    </row>
    <row r="3170" spans="1:28" x14ac:dyDescent="0.35">
      <c r="D3170" s="155"/>
      <c r="E3170" s="12"/>
      <c r="F3170" s="1"/>
      <c r="G3170" s="155"/>
      <c r="I3170" s="496"/>
      <c r="J3170" s="335"/>
      <c r="K3170" s="335"/>
      <c r="L3170" s="476"/>
      <c r="M3170" s="12"/>
      <c r="N3170" s="12"/>
      <c r="O3170" s="12"/>
      <c r="P3170" s="12"/>
      <c r="Q3170" s="12"/>
      <c r="R3170" s="12"/>
      <c r="S3170" s="12"/>
      <c r="T3170" s="12"/>
      <c r="U3170" s="12"/>
      <c r="V3170" s="12"/>
      <c r="W3170" s="12"/>
      <c r="X3170" s="12"/>
      <c r="Y3170" s="12"/>
      <c r="Z3170" s="12"/>
      <c r="AA3170" s="12"/>
      <c r="AB3170" s="12"/>
    </row>
    <row r="3171" spans="1:28" s="5" customFormat="1" x14ac:dyDescent="0.35">
      <c r="A3171" s="86" t="s">
        <v>7799</v>
      </c>
    </row>
    <row r="3172" spans="1:28" x14ac:dyDescent="0.35">
      <c r="D3172" s="155"/>
      <c r="E3172" s="155"/>
      <c r="F3172" s="155"/>
      <c r="G3172" s="1"/>
      <c r="H3172" s="155"/>
      <c r="J3172" s="155"/>
      <c r="M3172" s="295"/>
      <c r="O3172" s="295"/>
      <c r="P3172" s="295"/>
      <c r="Q3172" s="295"/>
      <c r="R3172" s="295"/>
      <c r="T3172" s="295"/>
      <c r="U3172" s="1"/>
      <c r="W3172" s="313"/>
      <c r="X3172" s="1"/>
    </row>
    <row r="3173" spans="1:28" x14ac:dyDescent="0.35">
      <c r="B3173" s="83" t="s">
        <v>2625</v>
      </c>
      <c r="D3173" t="s">
        <v>9054</v>
      </c>
      <c r="E3173" s="546"/>
      <c r="F3173" s="155"/>
      <c r="G3173" s="155"/>
      <c r="H3173" s="155"/>
      <c r="I3173" s="155"/>
      <c r="J3173" s="155"/>
      <c r="K3173" s="1"/>
      <c r="L3173" s="155"/>
      <c r="M3173" s="1"/>
      <c r="Q3173" s="73"/>
      <c r="R3173" s="1"/>
      <c r="T3173" s="313"/>
      <c r="U3173" s="1"/>
      <c r="W3173" s="313"/>
      <c r="X3173" s="1"/>
    </row>
    <row r="3174" spans="1:28" x14ac:dyDescent="0.35">
      <c r="E3174" s="546"/>
      <c r="F3174" s="155"/>
      <c r="G3174" s="155"/>
      <c r="H3174" s="155"/>
      <c r="I3174" s="155"/>
      <c r="J3174" s="155"/>
      <c r="K3174" s="1"/>
      <c r="L3174" s="155"/>
      <c r="M3174" s="1"/>
      <c r="Q3174" s="73"/>
      <c r="R3174" s="1"/>
      <c r="T3174" s="313"/>
      <c r="U3174" s="1"/>
      <c r="W3174" s="313"/>
      <c r="X3174" s="1"/>
    </row>
    <row r="3175" spans="1:28" x14ac:dyDescent="0.35">
      <c r="B3175" s="83" t="s">
        <v>4572</v>
      </c>
      <c r="D3175" t="s">
        <v>7260</v>
      </c>
      <c r="E3175" s="546"/>
      <c r="F3175" s="155"/>
      <c r="G3175" s="155"/>
      <c r="H3175" s="155"/>
      <c r="I3175" s="155"/>
      <c r="J3175" s="155"/>
      <c r="K3175" s="1"/>
      <c r="L3175" s="155"/>
      <c r="M3175" s="1"/>
      <c r="Q3175" s="73"/>
      <c r="R3175" s="1"/>
      <c r="T3175" s="313"/>
      <c r="U3175" s="1"/>
      <c r="W3175" s="313"/>
      <c r="X3175" s="1"/>
    </row>
    <row r="3176" spans="1:28" x14ac:dyDescent="0.35">
      <c r="D3176" t="s">
        <v>7229</v>
      </c>
      <c r="E3176" s="546"/>
      <c r="F3176" s="155"/>
      <c r="G3176" s="155"/>
      <c r="H3176" s="155"/>
      <c r="I3176" s="155"/>
      <c r="J3176" s="155"/>
      <c r="K3176" s="1"/>
      <c r="L3176" s="155"/>
      <c r="M3176" s="1"/>
      <c r="T3176" s="313"/>
      <c r="U3176" s="1"/>
      <c r="W3176" s="313"/>
      <c r="X3176" s="1"/>
    </row>
    <row r="3177" spans="1:28" x14ac:dyDescent="0.35">
      <c r="D3177" t="s">
        <v>7434</v>
      </c>
      <c r="E3177" s="546"/>
      <c r="F3177" s="155"/>
      <c r="G3177" s="155"/>
      <c r="H3177" s="155"/>
      <c r="I3177" s="155"/>
      <c r="J3177" s="155"/>
      <c r="K3177" s="1"/>
      <c r="L3177" s="155"/>
      <c r="M3177" s="1"/>
      <c r="T3177" s="313"/>
      <c r="U3177" s="1"/>
      <c r="W3177" s="313"/>
      <c r="X3177" s="1"/>
    </row>
    <row r="3178" spans="1:28" x14ac:dyDescent="0.35">
      <c r="E3178" s="546"/>
      <c r="F3178" s="155"/>
      <c r="G3178" s="155"/>
      <c r="H3178" s="155"/>
      <c r="I3178" s="155"/>
      <c r="J3178" s="155"/>
      <c r="K3178" s="1"/>
      <c r="L3178" s="155"/>
      <c r="M3178" s="1"/>
      <c r="T3178" s="313"/>
      <c r="U3178" s="1"/>
      <c r="W3178" s="313"/>
      <c r="X3178" s="1"/>
    </row>
    <row r="3179" spans="1:28" x14ac:dyDescent="0.35">
      <c r="B3179" s="83" t="s">
        <v>7230</v>
      </c>
      <c r="D3179" t="s">
        <v>9055</v>
      </c>
      <c r="E3179" s="546"/>
      <c r="F3179" s="155"/>
      <c r="G3179" s="155"/>
      <c r="H3179" s="155"/>
      <c r="I3179" s="155"/>
      <c r="J3179" s="155"/>
      <c r="K3179" s="1"/>
      <c r="L3179" s="155"/>
      <c r="M3179" s="1"/>
      <c r="T3179" s="313"/>
      <c r="U3179" s="1"/>
      <c r="W3179" s="313"/>
      <c r="X3179" s="1"/>
    </row>
    <row r="3180" spans="1:28" x14ac:dyDescent="0.35">
      <c r="D3180" t="s">
        <v>9056</v>
      </c>
      <c r="E3180" s="546"/>
      <c r="F3180" s="155"/>
      <c r="G3180" s="155"/>
      <c r="H3180" s="155"/>
      <c r="I3180" s="155"/>
      <c r="J3180" s="155"/>
      <c r="K3180" s="1"/>
      <c r="L3180" s="155"/>
      <c r="M3180" s="1"/>
      <c r="T3180" s="313"/>
      <c r="U3180" s="1"/>
      <c r="W3180" s="313"/>
      <c r="X3180" s="1"/>
    </row>
    <row r="3181" spans="1:28" x14ac:dyDescent="0.35">
      <c r="D3181" t="s">
        <v>7231</v>
      </c>
      <c r="E3181" s="546"/>
      <c r="F3181" s="155"/>
      <c r="G3181" s="155"/>
      <c r="H3181" s="155"/>
      <c r="I3181" s="155"/>
      <c r="J3181" s="155"/>
      <c r="K3181" s="1"/>
      <c r="L3181" s="155"/>
      <c r="M3181" s="1"/>
      <c r="T3181" s="313"/>
      <c r="U3181" s="1"/>
      <c r="W3181" s="313"/>
      <c r="X3181" s="1"/>
    </row>
    <row r="3182" spans="1:28" x14ac:dyDescent="0.35">
      <c r="D3182" t="s">
        <v>7232</v>
      </c>
      <c r="E3182" s="546"/>
      <c r="F3182" s="155"/>
      <c r="G3182" s="155"/>
      <c r="H3182" s="155"/>
      <c r="I3182" s="155"/>
      <c r="J3182" s="155"/>
      <c r="K3182" s="1"/>
      <c r="L3182" s="155"/>
      <c r="M3182" s="1"/>
      <c r="T3182" s="313"/>
      <c r="U3182" s="1"/>
      <c r="W3182" s="313"/>
      <c r="X3182" s="1"/>
    </row>
    <row r="3183" spans="1:28" x14ac:dyDescent="0.35">
      <c r="D3183" t="s">
        <v>7255</v>
      </c>
      <c r="E3183" s="546"/>
      <c r="F3183" s="155"/>
      <c r="G3183" s="155"/>
      <c r="H3183" s="155"/>
      <c r="I3183" s="155"/>
      <c r="J3183" s="155"/>
      <c r="K3183" s="1"/>
      <c r="L3183" s="155"/>
      <c r="M3183" s="1"/>
      <c r="T3183" s="313"/>
      <c r="U3183" s="1"/>
      <c r="W3183" s="313"/>
      <c r="X3183" s="1"/>
    </row>
    <row r="3184" spans="1:28" x14ac:dyDescent="0.35">
      <c r="E3184" s="546"/>
      <c r="F3184" s="155"/>
      <c r="G3184" s="155"/>
      <c r="H3184" s="155"/>
      <c r="I3184" s="155"/>
      <c r="J3184" s="155"/>
      <c r="K3184" s="1"/>
      <c r="L3184" s="155"/>
      <c r="M3184" s="1"/>
      <c r="T3184" s="313"/>
      <c r="U3184" s="1"/>
      <c r="W3184" s="313"/>
      <c r="X3184" s="1"/>
    </row>
    <row r="3185" spans="2:24" ht="15" customHeight="1" x14ac:dyDescent="0.35">
      <c r="B3185" s="83" t="s">
        <v>7202</v>
      </c>
      <c r="D3185" s="123" t="s">
        <v>7227</v>
      </c>
      <c r="E3185" s="123" t="s">
        <v>7226</v>
      </c>
      <c r="F3185" s="123" t="s">
        <v>7225</v>
      </c>
      <c r="G3185" s="670"/>
      <c r="H3185" s="123" t="s">
        <v>7211</v>
      </c>
      <c r="I3185" s="123" t="s">
        <v>7210</v>
      </c>
      <c r="J3185" s="123" t="s">
        <v>7209</v>
      </c>
      <c r="K3185" s="123" t="s">
        <v>7228</v>
      </c>
      <c r="L3185" s="123" t="s">
        <v>7213</v>
      </c>
      <c r="N3185" s="123" t="s">
        <v>3316</v>
      </c>
      <c r="O3185" s="123" t="s">
        <v>7263</v>
      </c>
      <c r="Q3185" s="123" t="s">
        <v>9053</v>
      </c>
      <c r="R3185" s="123" t="s">
        <v>9049</v>
      </c>
      <c r="S3185" s="123" t="s">
        <v>9050</v>
      </c>
      <c r="T3185" s="123" t="s">
        <v>9051</v>
      </c>
      <c r="U3185" s="123" t="s">
        <v>9052</v>
      </c>
      <c r="V3185" s="123" t="s">
        <v>9057</v>
      </c>
      <c r="X3185" s="1"/>
    </row>
    <row r="3186" spans="2:24" x14ac:dyDescent="0.35">
      <c r="D3186" s="171">
        <v>1</v>
      </c>
      <c r="E3186" s="171">
        <v>22</v>
      </c>
      <c r="F3186" s="10">
        <f>H3195</f>
        <v>1.5429740269809948</v>
      </c>
      <c r="H3186" s="719">
        <v>3.3</v>
      </c>
      <c r="I3186">
        <v>16</v>
      </c>
      <c r="J3186" s="236">
        <f>H3186/I3186</f>
        <v>0.20624999999999999</v>
      </c>
      <c r="K3186" s="13">
        <f>1000000*J3186/32768</f>
        <v>6.29425048828125</v>
      </c>
      <c r="L3186" s="331">
        <f>(K3186*1000000)/(E3186*1000000)</f>
        <v>0.286102294921875</v>
      </c>
      <c r="N3186" s="178">
        <f>MIN(F3186+J3186, $H$3197)</f>
        <v>1.7492240269809949</v>
      </c>
      <c r="O3186" s="13">
        <f>1000*(N3186-F3186)/E3186</f>
        <v>9.3750000000000018</v>
      </c>
      <c r="Q3186" s="13">
        <f>O3186</f>
        <v>9.3750000000000018</v>
      </c>
      <c r="R3186" s="236">
        <f>D3186*1000000*Q3186*0.000000001*1000</f>
        <v>9.3750000000000036</v>
      </c>
      <c r="S3186" s="220">
        <f>E3186*1000000*Q3186*0.000000001*1000</f>
        <v>206.25000000000006</v>
      </c>
      <c r="T3186" s="10">
        <f>F3186-(R3186/1000)</f>
        <v>1.5335990269809949</v>
      </c>
      <c r="U3186" s="10">
        <f>F3186+(S3186/1000)</f>
        <v>1.7492240269809949</v>
      </c>
      <c r="V3186" s="162">
        <f t="shared" ref="V3186:V3189" si="178">(U3186-F3186)*I3186/(3/32000)</f>
        <v>35200.000000000007</v>
      </c>
      <c r="X3186" s="1"/>
    </row>
    <row r="3187" spans="2:24" x14ac:dyDescent="0.35">
      <c r="D3187">
        <f t="shared" ref="D3187:F3189" si="179">D$3186</f>
        <v>1</v>
      </c>
      <c r="E3187">
        <f t="shared" si="179"/>
        <v>22</v>
      </c>
      <c r="F3187" s="10">
        <f t="shared" si="179"/>
        <v>1.5429740269809948</v>
      </c>
      <c r="H3187" s="13">
        <f>H$3186</f>
        <v>3.3</v>
      </c>
      <c r="I3187">
        <f>I3186/2</f>
        <v>8</v>
      </c>
      <c r="J3187" s="236">
        <f>H3187/I3187</f>
        <v>0.41249999999999998</v>
      </c>
      <c r="K3187" s="13">
        <f t="shared" ref="K3187:K3189" si="180">1000000*J3187/32768</f>
        <v>12.5885009765625</v>
      </c>
      <c r="L3187" s="331">
        <f t="shared" ref="L3187:L3189" si="181">(K3187*1000000)/(E3187*1000000)</f>
        <v>0.57220458984375</v>
      </c>
      <c r="N3187" s="178">
        <f>MIN(F3187+J3187, $H$3197)</f>
        <v>1.9554740269809949</v>
      </c>
      <c r="O3187" s="13">
        <f>1000*(N3187-F3187)/E3187</f>
        <v>18.750000000000004</v>
      </c>
      <c r="Q3187" s="13">
        <f t="shared" ref="Q3187:Q3189" si="182">O3187</f>
        <v>18.750000000000004</v>
      </c>
      <c r="R3187" s="236">
        <f t="shared" ref="R3187:R3189" si="183">D3187*1000000*Q3187*0.000000001*1000</f>
        <v>18.750000000000007</v>
      </c>
      <c r="S3187" s="220">
        <f t="shared" ref="S3187:S3189" si="184">E3187*1000000*Q3187*0.000000001*1000</f>
        <v>412.50000000000011</v>
      </c>
      <c r="T3187" s="10">
        <f t="shared" ref="T3187:T3189" si="185">F3187-(R3187/1000)</f>
        <v>1.5242240269809948</v>
      </c>
      <c r="U3187" s="10">
        <f t="shared" ref="U3187:U3189" si="186">F3187+(S3187/1000)</f>
        <v>1.9554740269809949</v>
      </c>
      <c r="V3187" s="162">
        <f t="shared" si="178"/>
        <v>35200.000000000007</v>
      </c>
      <c r="X3187" s="1"/>
    </row>
    <row r="3188" spans="2:24" x14ac:dyDescent="0.35">
      <c r="D3188">
        <f t="shared" si="179"/>
        <v>1</v>
      </c>
      <c r="E3188">
        <f t="shared" si="179"/>
        <v>22</v>
      </c>
      <c r="F3188" s="10">
        <f t="shared" si="179"/>
        <v>1.5429740269809948</v>
      </c>
      <c r="H3188" s="13">
        <f>H$3186</f>
        <v>3.3</v>
      </c>
      <c r="I3188">
        <f>I3187/2</f>
        <v>4</v>
      </c>
      <c r="J3188" s="236">
        <f>H3188/I3188</f>
        <v>0.82499999999999996</v>
      </c>
      <c r="K3188" s="13">
        <f t="shared" si="180"/>
        <v>25.177001953125</v>
      </c>
      <c r="L3188" s="331">
        <f t="shared" si="181"/>
        <v>1.1444091796875</v>
      </c>
      <c r="N3188" s="178">
        <f>MIN(F3188+J3188, $H$3197)</f>
        <v>2.3679740269809946</v>
      </c>
      <c r="O3188" s="13">
        <f>1000*(N3188-F3188)/E3188</f>
        <v>37.499999999999993</v>
      </c>
      <c r="Q3188" s="13">
        <f t="shared" si="182"/>
        <v>37.499999999999993</v>
      </c>
      <c r="R3188" s="236">
        <f t="shared" si="183"/>
        <v>37.499999999999993</v>
      </c>
      <c r="S3188" s="220">
        <f t="shared" si="184"/>
        <v>825</v>
      </c>
      <c r="T3188" s="10">
        <f t="shared" si="185"/>
        <v>1.5054740269809948</v>
      </c>
      <c r="U3188" s="10">
        <f t="shared" si="186"/>
        <v>2.3679740269809946</v>
      </c>
      <c r="V3188" s="162">
        <f t="shared" si="178"/>
        <v>35199.999999999985</v>
      </c>
      <c r="X3188" s="1"/>
    </row>
    <row r="3189" spans="2:24" x14ac:dyDescent="0.35">
      <c r="D3189">
        <f t="shared" si="179"/>
        <v>1</v>
      </c>
      <c r="E3189">
        <f t="shared" si="179"/>
        <v>22</v>
      </c>
      <c r="F3189" s="10">
        <f t="shared" si="179"/>
        <v>1.5429740269809948</v>
      </c>
      <c r="H3189" s="13">
        <f>H$3186</f>
        <v>3.3</v>
      </c>
      <c r="I3189">
        <f>I3188/2</f>
        <v>2</v>
      </c>
      <c r="J3189" s="236">
        <f>H3189/I3189</f>
        <v>1.65</v>
      </c>
      <c r="K3189" s="13">
        <f t="shared" si="180"/>
        <v>50.35400390625</v>
      </c>
      <c r="L3189" s="331">
        <f t="shared" si="181"/>
        <v>2.288818359375</v>
      </c>
      <c r="N3189" s="178">
        <f>MIN(F3189+J3189, $H$3197)</f>
        <v>3.1913799999999997</v>
      </c>
      <c r="O3189" s="13">
        <f>1000*(N3189-F3189)/E3189</f>
        <v>74.927544228136583</v>
      </c>
      <c r="Q3189" s="13">
        <f t="shared" si="182"/>
        <v>74.927544228136583</v>
      </c>
      <c r="R3189" s="236">
        <f t="shared" si="183"/>
        <v>74.927544228136597</v>
      </c>
      <c r="S3189" s="220">
        <f t="shared" si="184"/>
        <v>1648.4059730190049</v>
      </c>
      <c r="T3189" s="10">
        <f t="shared" si="185"/>
        <v>1.4680464827528583</v>
      </c>
      <c r="U3189" s="10">
        <f t="shared" si="186"/>
        <v>3.1913799999999997</v>
      </c>
      <c r="V3189" s="162">
        <f t="shared" si="178"/>
        <v>35165.994091072105</v>
      </c>
      <c r="X3189" s="1"/>
    </row>
    <row r="3190" spans="2:24" x14ac:dyDescent="0.35">
      <c r="F3190" s="10"/>
      <c r="H3190" s="13"/>
      <c r="J3190" s="236"/>
      <c r="K3190" s="13"/>
      <c r="L3190" s="331"/>
      <c r="N3190" s="178"/>
      <c r="O3190" s="13"/>
      <c r="R3190" s="236"/>
      <c r="S3190" s="220"/>
      <c r="T3190" s="10"/>
      <c r="U3190" s="10"/>
      <c r="V3190" s="1"/>
      <c r="X3190" s="1"/>
    </row>
    <row r="3191" spans="2:24" x14ac:dyDescent="0.35">
      <c r="D3191">
        <f t="shared" ref="D3191:F3193" si="187">D3186</f>
        <v>1</v>
      </c>
      <c r="E3191">
        <f t="shared" si="187"/>
        <v>22</v>
      </c>
      <c r="F3191" s="10">
        <f t="shared" si="187"/>
        <v>1.5429740269809948</v>
      </c>
      <c r="H3191" s="13">
        <f>H$3186</f>
        <v>3.3</v>
      </c>
      <c r="I3191">
        <f>I3186</f>
        <v>16</v>
      </c>
      <c r="J3191" s="236">
        <f>H3191/I3191</f>
        <v>0.20624999999999999</v>
      </c>
      <c r="K3191" s="13">
        <f t="shared" ref="K3191" si="188">1000000*J3191/32768</f>
        <v>6.29425048828125</v>
      </c>
      <c r="L3191" s="331">
        <f t="shared" ref="L3191" si="189">(K3191*1000000)/(E3191*1000000)</f>
        <v>0.286102294921875</v>
      </c>
      <c r="N3191" s="178"/>
      <c r="O3191" s="12"/>
      <c r="Q3191" s="946">
        <v>0.01</v>
      </c>
      <c r="R3191" s="236">
        <f>D3191*1000000*Q3191*0.000000001*1000</f>
        <v>0.01</v>
      </c>
      <c r="S3191" s="220">
        <f>E3191*1000000*Q3191*0.000000001*1000</f>
        <v>0.22</v>
      </c>
      <c r="T3191" s="10">
        <f>F3191-(R3191/1000)</f>
        <v>1.5429640269809948</v>
      </c>
      <c r="U3191" s="10">
        <f>F3191+(S3191/1000)</f>
        <v>1.5431940269809949</v>
      </c>
      <c r="V3191" s="162">
        <f>(U3191-F3191)*I3191/(3/32000)</f>
        <v>37.546666666685269</v>
      </c>
      <c r="X3191" s="1"/>
    </row>
    <row r="3192" spans="2:24" x14ac:dyDescent="0.35">
      <c r="D3192">
        <f t="shared" si="187"/>
        <v>1</v>
      </c>
      <c r="E3192">
        <f t="shared" si="187"/>
        <v>22</v>
      </c>
      <c r="F3192" s="10">
        <f t="shared" si="187"/>
        <v>1.5429740269809948</v>
      </c>
      <c r="H3192" s="13">
        <f>H$3186</f>
        <v>3.3</v>
      </c>
      <c r="I3192">
        <f>I3191</f>
        <v>16</v>
      </c>
      <c r="J3192" s="236">
        <f>H3192/I3192</f>
        <v>0.20624999999999999</v>
      </c>
      <c r="K3192" s="13">
        <f t="shared" ref="K3192" si="190">1000000*J3192/32768</f>
        <v>6.29425048828125</v>
      </c>
      <c r="L3192" s="331">
        <f t="shared" ref="L3192" si="191">(K3192*1000000)/(E3192*1000000)</f>
        <v>0.286102294921875</v>
      </c>
      <c r="N3192" s="178"/>
      <c r="O3192" s="12"/>
      <c r="Q3192" s="946">
        <v>0.1</v>
      </c>
      <c r="R3192" s="236">
        <f>D3192*1000000*Q3192*0.000000001*1000</f>
        <v>0.1</v>
      </c>
      <c r="S3192" s="220">
        <f>E3192*1000000*Q3192*0.000000001*1000</f>
        <v>2.2000000000000002</v>
      </c>
      <c r="T3192" s="10">
        <f>F3192-(R3192/1000)</f>
        <v>1.5428740269809949</v>
      </c>
      <c r="U3192" s="10">
        <f>F3192+(S3192/1000)</f>
        <v>1.5451740269809948</v>
      </c>
      <c r="V3192" s="162">
        <f t="shared" ref="V3192:V3193" si="192">(U3192-F3192)*I3192/(3/32000)</f>
        <v>375.46666666666323</v>
      </c>
      <c r="X3192" s="1"/>
    </row>
    <row r="3193" spans="2:24" x14ac:dyDescent="0.35">
      <c r="D3193">
        <f t="shared" si="187"/>
        <v>1</v>
      </c>
      <c r="E3193">
        <f t="shared" si="187"/>
        <v>22</v>
      </c>
      <c r="F3193" s="10">
        <f t="shared" si="187"/>
        <v>1.5429740269809948</v>
      </c>
      <c r="H3193" s="13">
        <f>H$3186</f>
        <v>3.3</v>
      </c>
      <c r="I3193">
        <f>I3192</f>
        <v>16</v>
      </c>
      <c r="J3193" s="236">
        <f>H3193/I3193</f>
        <v>0.20624999999999999</v>
      </c>
      <c r="K3193" s="13">
        <f t="shared" ref="K3193" si="193">1000000*J3193/32768</f>
        <v>6.29425048828125</v>
      </c>
      <c r="L3193" s="331">
        <f t="shared" ref="L3193" si="194">(K3193*1000000)/(E3193*1000000)</f>
        <v>0.286102294921875</v>
      </c>
      <c r="N3193" s="178"/>
      <c r="O3193" s="12"/>
      <c r="Q3193" s="946">
        <v>1</v>
      </c>
      <c r="R3193" s="236">
        <f>D3193*1000000*Q3193*0.000000001*1000</f>
        <v>1</v>
      </c>
      <c r="S3193" s="220">
        <f>E3193*1000000*Q3193*0.000000001*1000</f>
        <v>22.000000000000004</v>
      </c>
      <c r="T3193" s="10">
        <f>F3193-(R3193/1000)</f>
        <v>1.5419740269809949</v>
      </c>
      <c r="U3193" s="10">
        <f>F3193+(S3193/1000)</f>
        <v>1.5649740269809949</v>
      </c>
      <c r="V3193" s="162">
        <f t="shared" si="192"/>
        <v>3754.6666666666697</v>
      </c>
      <c r="X3193" s="1"/>
    </row>
    <row r="3194" spans="2:24" x14ac:dyDescent="0.35">
      <c r="G3194" s="236"/>
      <c r="H3194" s="414"/>
      <c r="I3194" s="670"/>
      <c r="J3194" s="331"/>
      <c r="K3194" s="1"/>
      <c r="L3194" s="155"/>
      <c r="M3194" s="1"/>
      <c r="Q3194" s="73"/>
      <c r="R3194" s="1"/>
      <c r="T3194" s="313"/>
      <c r="U3194" s="1"/>
      <c r="W3194" s="313"/>
      <c r="X3194" s="1"/>
    </row>
    <row r="3195" spans="2:24" x14ac:dyDescent="0.35">
      <c r="B3195" s="83" t="s">
        <v>2076</v>
      </c>
      <c r="D3195" t="s">
        <v>6978</v>
      </c>
      <c r="G3195" s="325" t="s">
        <v>2</v>
      </c>
      <c r="H3195" s="460">
        <f>F3095</f>
        <v>1.5429740269809948</v>
      </c>
      <c r="J3195" s="155" t="str">
        <f>D3095</f>
        <v>1.5Vcal</v>
      </c>
      <c r="K3195" s="155"/>
      <c r="L3195" s="1"/>
      <c r="M3195" s="155"/>
      <c r="N3195" s="1"/>
      <c r="Q3195" s="73"/>
      <c r="R3195" s="1"/>
      <c r="T3195" s="313"/>
      <c r="U3195" s="1"/>
      <c r="W3195" s="313"/>
      <c r="X3195" s="1"/>
    </row>
    <row r="3196" spans="2:24" x14ac:dyDescent="0.35">
      <c r="D3196" t="s">
        <v>3049</v>
      </c>
      <c r="E3196" t="s">
        <v>6979</v>
      </c>
      <c r="G3196" s="325" t="s">
        <v>2</v>
      </c>
      <c r="H3196" s="236">
        <f>H3195</f>
        <v>1.5429740269809948</v>
      </c>
      <c r="I3196" s="155"/>
      <c r="J3196" s="155"/>
      <c r="K3196" s="155"/>
      <c r="L3196" s="1"/>
      <c r="M3196" s="155"/>
      <c r="N3196" s="1"/>
      <c r="Q3196" s="73"/>
      <c r="R3196" s="1"/>
      <c r="T3196" s="313"/>
      <c r="U3196" s="1"/>
      <c r="W3196" s="313"/>
      <c r="X3196" s="1"/>
    </row>
    <row r="3197" spans="2:24" x14ac:dyDescent="0.35">
      <c r="E3197" s="325" t="s">
        <v>6980</v>
      </c>
      <c r="G3197" s="325" t="s">
        <v>2</v>
      </c>
      <c r="H3197" s="236">
        <f>K2955</f>
        <v>3.1913799999999997</v>
      </c>
      <c r="I3197" s="155"/>
      <c r="J3197" s="155"/>
      <c r="K3197" s="155"/>
      <c r="L3197" s="1"/>
      <c r="M3197" s="155"/>
      <c r="N3197" s="1"/>
      <c r="Q3197" s="73"/>
      <c r="R3197" s="1"/>
      <c r="T3197" s="313"/>
      <c r="U3197" s="1"/>
      <c r="W3197" s="313"/>
      <c r="X3197" s="1"/>
    </row>
    <row r="3198" spans="2:24" x14ac:dyDescent="0.35">
      <c r="E3198" s="325" t="s">
        <v>6404</v>
      </c>
      <c r="G3198" s="325" t="s">
        <v>2</v>
      </c>
      <c r="H3198" s="236">
        <f>H3197-H3196</f>
        <v>1.6484059730190048</v>
      </c>
      <c r="I3198" s="155"/>
      <c r="J3198" s="155"/>
      <c r="K3198" s="155"/>
      <c r="L3198" s="1"/>
      <c r="M3198" s="155"/>
      <c r="N3198" s="1"/>
      <c r="Q3198" s="73"/>
      <c r="R3198" s="1"/>
      <c r="T3198" s="313"/>
      <c r="U3198" s="1"/>
      <c r="W3198" s="313"/>
      <c r="X3198" s="1"/>
    </row>
    <row r="3199" spans="2:24" x14ac:dyDescent="0.35">
      <c r="D3199" t="s">
        <v>6985</v>
      </c>
      <c r="E3199" s="325"/>
      <c r="G3199" s="325" t="s">
        <v>1167</v>
      </c>
      <c r="H3199" s="639">
        <v>20000</v>
      </c>
      <c r="I3199" s="155"/>
      <c r="J3199" s="155" t="s">
        <v>6981</v>
      </c>
      <c r="K3199" s="155"/>
      <c r="L3199" s="1"/>
      <c r="M3199" s="155"/>
      <c r="N3199" s="1"/>
      <c r="Q3199" s="73"/>
      <c r="R3199" s="1"/>
      <c r="T3199" s="313"/>
      <c r="U3199" s="1"/>
      <c r="W3199" s="313"/>
      <c r="X3199" s="1"/>
    </row>
    <row r="3200" spans="2:24" x14ac:dyDescent="0.35">
      <c r="D3200" t="s">
        <v>7460</v>
      </c>
      <c r="E3200" s="325"/>
      <c r="G3200" s="325" t="s">
        <v>2</v>
      </c>
      <c r="H3200" s="641">
        <f>H3197/(E3186/D3186)</f>
        <v>0.14506272727272726</v>
      </c>
      <c r="I3200" s="155"/>
      <c r="J3200" s="155" t="s">
        <v>7461</v>
      </c>
      <c r="K3200" s="155"/>
      <c r="L3200" s="1"/>
      <c r="M3200" s="155"/>
      <c r="N3200" s="1"/>
      <c r="Q3200" s="73"/>
      <c r="R3200" s="1"/>
      <c r="T3200" s="313"/>
      <c r="U3200" s="1"/>
      <c r="W3200" s="313"/>
      <c r="X3200" s="1"/>
    </row>
    <row r="3201" spans="2:26" x14ac:dyDescent="0.35">
      <c r="D3201" t="s">
        <v>6997</v>
      </c>
      <c r="E3201" s="325"/>
      <c r="G3201" s="325" t="s">
        <v>6982</v>
      </c>
      <c r="H3201" s="423">
        <f>O3189</f>
        <v>74.927544228136583</v>
      </c>
      <c r="I3201" s="155"/>
      <c r="J3201" s="155" t="s">
        <v>6998</v>
      </c>
      <c r="K3201" s="155"/>
      <c r="L3201" s="1"/>
      <c r="M3201" s="155"/>
      <c r="N3201" s="1"/>
      <c r="Q3201" s="73"/>
      <c r="R3201" s="1"/>
      <c r="T3201" s="313"/>
      <c r="U3201" s="1"/>
      <c r="W3201" s="313"/>
      <c r="X3201" s="1"/>
    </row>
    <row r="3202" spans="2:26" x14ac:dyDescent="0.35">
      <c r="D3202" t="s">
        <v>6986</v>
      </c>
      <c r="E3202" s="325"/>
      <c r="G3202" s="711" t="s">
        <v>6987</v>
      </c>
      <c r="H3202" s="670">
        <f>L3189</f>
        <v>2.288818359375</v>
      </c>
      <c r="I3202" s="155"/>
      <c r="J3202" s="155" t="s">
        <v>6988</v>
      </c>
      <c r="K3202" s="155"/>
      <c r="L3202" s="1"/>
      <c r="M3202" s="155"/>
      <c r="N3202" s="1"/>
      <c r="Q3202" s="73"/>
      <c r="R3202" s="1"/>
      <c r="T3202" s="313"/>
      <c r="U3202" s="1"/>
      <c r="W3202" s="313"/>
      <c r="X3202" s="1"/>
    </row>
    <row r="3203" spans="2:26" x14ac:dyDescent="0.35">
      <c r="D3203" t="s">
        <v>7233</v>
      </c>
      <c r="E3203" s="325"/>
      <c r="F3203" s="325"/>
      <c r="G3203" s="325" t="s">
        <v>6989</v>
      </c>
      <c r="H3203" s="638">
        <v>1</v>
      </c>
      <c r="I3203" s="155"/>
      <c r="J3203" s="155"/>
      <c r="K3203" s="1"/>
      <c r="L3203" s="155"/>
      <c r="M3203" s="1"/>
      <c r="Q3203" s="73"/>
      <c r="R3203" s="1"/>
      <c r="T3203" s="313"/>
      <c r="U3203" s="1"/>
      <c r="W3203" s="313"/>
      <c r="X3203" s="1"/>
    </row>
    <row r="3204" spans="2:26" x14ac:dyDescent="0.35">
      <c r="D3204" t="s">
        <v>6990</v>
      </c>
      <c r="E3204" s="325"/>
      <c r="F3204" s="325"/>
      <c r="G3204" s="325" t="s">
        <v>6989</v>
      </c>
      <c r="H3204" s="638">
        <f>H3198/(H3201/1000)</f>
        <v>22</v>
      </c>
      <c r="I3204" s="155"/>
      <c r="J3204" s="155"/>
      <c r="K3204" s="1"/>
      <c r="L3204" s="155"/>
      <c r="M3204" s="1"/>
      <c r="Q3204" s="73"/>
      <c r="R3204" s="1"/>
      <c r="T3204" s="313"/>
      <c r="U3204" s="1"/>
      <c r="W3204" s="313"/>
      <c r="X3204" s="1"/>
    </row>
    <row r="3205" spans="2:26" x14ac:dyDescent="0.35">
      <c r="D3205" s="95" t="s">
        <v>7004</v>
      </c>
      <c r="E3205" s="155"/>
      <c r="F3205" s="155"/>
      <c r="G3205" s="712" t="s">
        <v>7003</v>
      </c>
      <c r="I3205" s="155"/>
      <c r="J3205" s="710" t="s">
        <v>6999</v>
      </c>
      <c r="K3205" s="710"/>
      <c r="M3205" s="1"/>
      <c r="Q3205" s="73"/>
      <c r="R3205" s="1"/>
      <c r="T3205" s="313"/>
      <c r="U3205" s="1"/>
      <c r="W3205" s="313"/>
      <c r="X3205" s="1"/>
    </row>
    <row r="3206" spans="2:26" x14ac:dyDescent="0.35">
      <c r="D3206" s="95"/>
      <c r="E3206" s="155" t="s">
        <v>7001</v>
      </c>
      <c r="F3206" s="155"/>
      <c r="G3206" s="325" t="s">
        <v>6982</v>
      </c>
      <c r="H3206" s="171">
        <v>5</v>
      </c>
      <c r="I3206" s="155"/>
      <c r="J3206" s="710" t="str">
        <f>H1116</f>
        <v>5nA Max at 85C, 0.1nA Max at 25C (not typical), +-1V headroom, Vin = (Vee+1) to (Vcc-1), OtherPins NotSpecified (?)</v>
      </c>
      <c r="K3206" s="710"/>
      <c r="M3206" s="1"/>
      <c r="Q3206" s="73"/>
      <c r="R3206" s="1"/>
      <c r="T3206" s="313"/>
      <c r="U3206" s="1"/>
      <c r="W3206" s="313"/>
      <c r="X3206" s="1"/>
    </row>
    <row r="3207" spans="2:26" x14ac:dyDescent="0.35">
      <c r="D3207" s="95"/>
      <c r="E3207" s="155" t="s">
        <v>7002</v>
      </c>
      <c r="F3207" s="155"/>
      <c r="G3207" s="325" t="s">
        <v>7000</v>
      </c>
      <c r="H3207" s="171">
        <v>46</v>
      </c>
      <c r="I3207" s="155"/>
      <c r="J3207" s="710" t="str">
        <f>P1116</f>
        <v xml:space="preserve">46Ω max at &lt;85C with 4.5Vpwr, no headroom  </v>
      </c>
      <c r="K3207" s="710"/>
      <c r="M3207" s="1"/>
      <c r="Q3207" s="73"/>
      <c r="R3207" s="1"/>
      <c r="T3207" s="313"/>
      <c r="U3207" s="1"/>
      <c r="W3207" s="313"/>
      <c r="X3207" s="1"/>
    </row>
    <row r="3208" spans="2:26" x14ac:dyDescent="0.35">
      <c r="D3208" s="95" t="s">
        <v>3295</v>
      </c>
      <c r="E3208" s="155"/>
      <c r="F3208" s="155"/>
      <c r="G3208" s="712" t="s">
        <v>7117</v>
      </c>
      <c r="I3208" s="155"/>
      <c r="K3208" s="710"/>
      <c r="M3208" s="1"/>
      <c r="Q3208" s="73"/>
      <c r="R3208" s="1"/>
      <c r="T3208" s="313"/>
      <c r="U3208" s="1"/>
      <c r="W3208" s="313"/>
      <c r="X3208" s="1"/>
    </row>
    <row r="3209" spans="2:26" x14ac:dyDescent="0.35">
      <c r="E3209" s="155" t="s">
        <v>7009</v>
      </c>
      <c r="F3209" s="155"/>
      <c r="G3209" s="325" t="s">
        <v>6982</v>
      </c>
      <c r="H3209" s="172">
        <v>0.15</v>
      </c>
      <c r="J3209" s="746" t="str">
        <f>M3304</f>
        <v>75typ pA @ 25C,    150pA typ over temp (125C),   max not specified,     Fig 7 shows bias not getting much worse as you increase temperature.  Graph shows input bias changing 7pA (195 to 202pA) when you change Cmv from 1V to 4V (this is an error that we see, 7pA x 50K = 0.35uVos)</v>
      </c>
      <c r="K3209" s="1"/>
      <c r="L3209" s="155"/>
      <c r="M3209" s="1"/>
      <c r="Q3209" s="73"/>
      <c r="R3209" s="1"/>
      <c r="T3209" s="313"/>
      <c r="U3209" s="1"/>
      <c r="W3209" s="313"/>
      <c r="X3209" s="1"/>
    </row>
    <row r="3210" spans="2:26" x14ac:dyDescent="0.35">
      <c r="E3210" s="155" t="s">
        <v>7010</v>
      </c>
      <c r="F3210" s="155"/>
      <c r="G3210" s="325" t="s">
        <v>6982</v>
      </c>
      <c r="H3210" s="172">
        <v>0.25</v>
      </c>
      <c r="I3210" s="155"/>
      <c r="J3210" s="155"/>
      <c r="K3210" s="1"/>
      <c r="L3210" s="155"/>
      <c r="M3210" s="1"/>
      <c r="Q3210" s="73"/>
      <c r="R3210" s="1"/>
      <c r="T3210" s="313"/>
      <c r="U3210" s="1"/>
      <c r="W3210" s="313"/>
      <c r="X3210" s="1"/>
    </row>
    <row r="3211" spans="2:26" x14ac:dyDescent="0.35">
      <c r="E3211" s="155" t="s">
        <v>7006</v>
      </c>
      <c r="F3211" s="155"/>
      <c r="G3211" s="325" t="s">
        <v>7005</v>
      </c>
      <c r="H3211" s="719">
        <v>0.02</v>
      </c>
      <c r="I3211" s="155"/>
      <c r="J3211" s="155"/>
      <c r="K3211" s="1"/>
      <c r="L3211" s="155"/>
      <c r="M3211" s="1"/>
      <c r="Q3211" s="73"/>
      <c r="R3211" s="1"/>
      <c r="T3211" s="313"/>
      <c r="U3211" s="1"/>
      <c r="W3211" s="313"/>
      <c r="X3211" s="1"/>
    </row>
    <row r="3212" spans="2:26" x14ac:dyDescent="0.35">
      <c r="E3212" s="155" t="s">
        <v>7013</v>
      </c>
      <c r="F3212" s="155"/>
      <c r="G3212" s="325" t="s">
        <v>7008</v>
      </c>
      <c r="H3212" s="642">
        <v>102</v>
      </c>
      <c r="I3212" s="155"/>
      <c r="J3212" s="155" t="s">
        <v>7015</v>
      </c>
      <c r="K3212" s="1"/>
      <c r="L3212" s="155"/>
      <c r="M3212" s="1"/>
      <c r="Q3212" s="73"/>
      <c r="R3212" s="1"/>
      <c r="T3212" s="313"/>
      <c r="U3212" s="1"/>
      <c r="W3212" s="313"/>
      <c r="X3212" s="1"/>
    </row>
    <row r="3213" spans="2:26" x14ac:dyDescent="0.35">
      <c r="E3213" s="155"/>
      <c r="F3213" s="155"/>
      <c r="G3213" s="325"/>
      <c r="H3213" s="642"/>
      <c r="I3213" s="155"/>
      <c r="J3213" s="155"/>
      <c r="K3213" s="1"/>
      <c r="L3213" s="155"/>
      <c r="M3213" s="1"/>
      <c r="Q3213" s="73"/>
      <c r="R3213" s="1"/>
      <c r="T3213" s="313"/>
      <c r="U3213" s="1"/>
      <c r="W3213" s="313"/>
      <c r="X3213" s="1"/>
    </row>
    <row r="3214" spans="2:26" ht="15" thickBot="1" x14ac:dyDescent="0.4">
      <c r="B3214" s="83" t="s">
        <v>7244</v>
      </c>
      <c r="D3214" s="155"/>
      <c r="E3214" s="155"/>
      <c r="F3214" s="155"/>
      <c r="G3214" s="1"/>
      <c r="H3214" s="155"/>
      <c r="J3214" s="155"/>
      <c r="O3214" s="295"/>
      <c r="Q3214" s="295"/>
      <c r="R3214" s="295"/>
      <c r="S3214" s="1"/>
      <c r="V3214" s="295"/>
      <c r="W3214" s="1"/>
      <c r="Y3214" s="716" t="s">
        <v>7011</v>
      </c>
      <c r="Z3214" s="716" t="s">
        <v>7012</v>
      </c>
    </row>
    <row r="3215" spans="2:26" ht="15" thickTop="1" x14ac:dyDescent="0.35">
      <c r="D3215" s="724" t="s">
        <v>7242</v>
      </c>
      <c r="E3215" s="546"/>
      <c r="G3215" t="s">
        <v>7241</v>
      </c>
      <c r="H3215" s="155"/>
      <c r="I3215" s="155"/>
      <c r="J3215" s="155"/>
      <c r="K3215" s="155"/>
      <c r="L3215" s="1"/>
      <c r="M3215" s="155"/>
      <c r="N3215" s="1"/>
      <c r="R3215" s="73"/>
      <c r="S3215" s="1"/>
      <c r="U3215" s="313"/>
      <c r="V3215" s="1"/>
      <c r="Y3215" s="12">
        <f>H3202</f>
        <v>2.288818359375</v>
      </c>
      <c r="Z3215" s="12">
        <f>Y3215</f>
        <v>2.288818359375</v>
      </c>
    </row>
    <row r="3216" spans="2:26" x14ac:dyDescent="0.35">
      <c r="D3216" s="724"/>
      <c r="E3216" s="546"/>
      <c r="H3216" s="155"/>
      <c r="I3216" s="155"/>
      <c r="J3216" s="155"/>
      <c r="K3216" s="155"/>
      <c r="L3216" s="1"/>
      <c r="M3216" s="155"/>
      <c r="N3216" s="1"/>
      <c r="R3216" s="73"/>
      <c r="S3216" s="1"/>
      <c r="U3216" s="313"/>
      <c r="V3216" s="1"/>
      <c r="Y3216" s="313"/>
    </row>
    <row r="3217" spans="3:26" x14ac:dyDescent="0.35">
      <c r="D3217" s="724" t="s">
        <v>7243</v>
      </c>
      <c r="E3217" s="546"/>
      <c r="G3217" s="155" t="s">
        <v>7245</v>
      </c>
      <c r="H3217" s="155"/>
      <c r="I3217" s="155"/>
      <c r="J3217" s="155"/>
      <c r="K3217" s="155"/>
      <c r="L3217" s="1"/>
      <c r="M3217" s="155"/>
      <c r="N3217" s="1"/>
      <c r="R3217" s="73"/>
      <c r="S3217" s="123" t="s">
        <v>6976</v>
      </c>
      <c r="T3217" s="123" t="s">
        <v>6975</v>
      </c>
      <c r="U3217" s="123"/>
      <c r="V3217" s="123" t="s">
        <v>5620</v>
      </c>
      <c r="W3217" s="123" t="s">
        <v>6960</v>
      </c>
      <c r="Y3217" s="333" t="str">
        <f>Y$3214</f>
        <v>pA err 25°C</v>
      </c>
      <c r="Z3217" s="333" t="str">
        <f>Z$3214</f>
        <v>pA err 75°C</v>
      </c>
    </row>
    <row r="3218" spans="3:26" x14ac:dyDescent="0.35">
      <c r="D3218" s="724"/>
      <c r="E3218" s="546"/>
      <c r="G3218" s="155"/>
      <c r="H3218" s="155"/>
      <c r="I3218" s="155"/>
      <c r="J3218" s="155"/>
      <c r="K3218" s="155"/>
      <c r="L3218" s="1"/>
      <c r="M3218" s="155"/>
      <c r="N3218" s="1"/>
      <c r="R3218" s="73"/>
      <c r="S3218" s="155">
        <f>H3207</f>
        <v>46</v>
      </c>
      <c r="T3218" s="312">
        <f>H3206</f>
        <v>5</v>
      </c>
      <c r="V3218" s="744">
        <f>(T3218/1000000)*S3218</f>
        <v>2.3000000000000001E-4</v>
      </c>
      <c r="W3218" s="13">
        <f>$H$3204</f>
        <v>22</v>
      </c>
      <c r="Y3218" s="413">
        <f>1000000000000*(V3218*0.001/(W3218*1000000))</f>
        <v>1.0454545454545456E-2</v>
      </c>
      <c r="Z3218" s="12">
        <f>Y3218</f>
        <v>1.0454545454545456E-2</v>
      </c>
    </row>
    <row r="3219" spans="3:26" x14ac:dyDescent="0.35">
      <c r="D3219" s="724" t="s">
        <v>6967</v>
      </c>
      <c r="E3219" s="546"/>
      <c r="G3219" t="s">
        <v>7246</v>
      </c>
      <c r="H3219" s="155"/>
      <c r="I3219" s="155"/>
      <c r="J3219" s="155"/>
      <c r="K3219" s="155"/>
      <c r="L3219" s="1"/>
      <c r="M3219" s="155"/>
      <c r="N3219" s="1"/>
      <c r="R3219" s="73"/>
      <c r="Y3219" s="15"/>
      <c r="Z3219" s="15"/>
    </row>
    <row r="3220" spans="3:26" x14ac:dyDescent="0.35">
      <c r="D3220" s="724"/>
      <c r="E3220" s="546"/>
      <c r="G3220" s="155" t="s">
        <v>7247</v>
      </c>
      <c r="H3220" s="155"/>
      <c r="I3220" s="155"/>
      <c r="J3220" s="155"/>
      <c r="K3220" s="155"/>
      <c r="L3220" s="1"/>
      <c r="M3220" s="155"/>
      <c r="N3220" s="1"/>
      <c r="R3220" s="73"/>
      <c r="S3220" s="1"/>
      <c r="U3220" s="313"/>
      <c r="V3220" s="1"/>
      <c r="Y3220" s="717"/>
      <c r="Z3220" s="15"/>
    </row>
    <row r="3221" spans="3:26" x14ac:dyDescent="0.35">
      <c r="D3221" s="724"/>
      <c r="E3221" s="546"/>
      <c r="G3221" s="155"/>
      <c r="H3221" s="155"/>
      <c r="I3221" s="155"/>
      <c r="J3221" s="155"/>
      <c r="K3221" s="155"/>
      <c r="L3221" s="1"/>
      <c r="M3221" s="155"/>
      <c r="N3221" s="1"/>
      <c r="R3221" s="73"/>
      <c r="S3221" s="1"/>
      <c r="U3221" s="313"/>
      <c r="V3221" s="1"/>
      <c r="Y3221" s="717"/>
      <c r="Z3221" s="15"/>
    </row>
    <row r="3222" spans="3:26" x14ac:dyDescent="0.35">
      <c r="D3222" s="724" t="s">
        <v>6966</v>
      </c>
      <c r="G3222" t="s">
        <v>6958</v>
      </c>
      <c r="H3222" s="155"/>
      <c r="I3222" s="155"/>
      <c r="J3222" s="155"/>
      <c r="K3222" s="155"/>
      <c r="L3222" s="1"/>
      <c r="M3222" s="155"/>
      <c r="N3222" s="1"/>
      <c r="R3222" s="73"/>
      <c r="S3222" s="1"/>
      <c r="W3222" s="123" t="s">
        <v>7019</v>
      </c>
      <c r="Y3222" s="333" t="str">
        <f>Y$3214</f>
        <v>pA err 25°C</v>
      </c>
      <c r="Z3222" s="333" t="str">
        <f>Z$3214</f>
        <v>pA err 75°C</v>
      </c>
    </row>
    <row r="3223" spans="3:26" x14ac:dyDescent="0.35">
      <c r="D3223" s="724"/>
      <c r="G3223" s="325" t="s">
        <v>7248</v>
      </c>
      <c r="H3223" s="155"/>
      <c r="I3223" s="155"/>
      <c r="J3223" s="155"/>
      <c r="K3223" s="155"/>
      <c r="L3223" s="1"/>
      <c r="M3223" s="155"/>
      <c r="N3223" s="1"/>
      <c r="R3223" s="73"/>
      <c r="S3223" s="1"/>
      <c r="V3223" s="721" t="s">
        <v>7016</v>
      </c>
      <c r="W3223" s="414">
        <f>H3209*1000</f>
        <v>150</v>
      </c>
      <c r="Y3223" s="414">
        <f>2*W3223</f>
        <v>300</v>
      </c>
      <c r="Z3223" s="414"/>
    </row>
    <row r="3224" spans="3:26" x14ac:dyDescent="0.35">
      <c r="D3224" s="724"/>
      <c r="G3224" s="546"/>
      <c r="H3224" s="155"/>
      <c r="I3224" s="155"/>
      <c r="J3224" s="155"/>
      <c r="K3224" s="155"/>
      <c r="L3224" s="1"/>
      <c r="M3224" s="155"/>
      <c r="N3224" s="1"/>
      <c r="R3224" s="73"/>
      <c r="S3224" s="1"/>
      <c r="V3224" s="721" t="s">
        <v>7017</v>
      </c>
      <c r="W3224" s="414">
        <f>H3210*1000</f>
        <v>250</v>
      </c>
      <c r="Y3224" s="717"/>
      <c r="Z3224" s="15">
        <f>2*W3224</f>
        <v>500</v>
      </c>
    </row>
    <row r="3225" spans="3:26" x14ac:dyDescent="0.35">
      <c r="D3225" s="724" t="s">
        <v>6965</v>
      </c>
      <c r="G3225" t="s">
        <v>7250</v>
      </c>
      <c r="H3225" s="155"/>
      <c r="I3225" s="155"/>
      <c r="J3225" s="155"/>
      <c r="K3225" s="155"/>
      <c r="L3225" s="1"/>
      <c r="M3225" s="155"/>
      <c r="N3225" s="1"/>
      <c r="U3225" s="313"/>
      <c r="V3225" s="1"/>
      <c r="Y3225" s="717"/>
      <c r="Z3225" s="15"/>
    </row>
    <row r="3226" spans="3:26" x14ac:dyDescent="0.35">
      <c r="D3226" s="724"/>
      <c r="H3226" s="155"/>
      <c r="I3226" s="155"/>
      <c r="J3226" s="155"/>
      <c r="K3226" s="155"/>
      <c r="L3226" s="1"/>
      <c r="M3226" s="155"/>
      <c r="N3226" s="1"/>
      <c r="V3226" s="313"/>
      <c r="W3226" s="1"/>
      <c r="Y3226" s="15"/>
      <c r="Z3226" s="718"/>
    </row>
    <row r="3227" spans="3:26" x14ac:dyDescent="0.35">
      <c r="D3227" s="724" t="s">
        <v>6968</v>
      </c>
      <c r="G3227" s="325" t="s">
        <v>7007</v>
      </c>
      <c r="I3227" s="155"/>
      <c r="J3227" s="155"/>
      <c r="K3227" s="155"/>
      <c r="L3227" s="1"/>
      <c r="M3227" s="155"/>
      <c r="N3227" s="1"/>
      <c r="V3227" s="333" t="s">
        <v>5620</v>
      </c>
      <c r="W3227" s="333" t="s">
        <v>6960</v>
      </c>
      <c r="Y3227" s="333" t="str">
        <f>Y$3214</f>
        <v>pA err 25°C</v>
      </c>
      <c r="Z3227" s="333" t="str">
        <f>Z$3214</f>
        <v>pA err 75°C</v>
      </c>
    </row>
    <row r="3228" spans="3:26" x14ac:dyDescent="0.35">
      <c r="D3228" s="724"/>
      <c r="G3228" t="s">
        <v>6957</v>
      </c>
      <c r="I3228" s="155"/>
      <c r="J3228" s="155"/>
      <c r="K3228" s="155"/>
      <c r="L3228" s="1"/>
      <c r="M3228" s="155"/>
      <c r="N3228" s="1"/>
      <c r="V3228" s="744">
        <f>H3211*10/1000</f>
        <v>2.0000000000000001E-4</v>
      </c>
      <c r="W3228" s="13">
        <f>$H$3204</f>
        <v>22</v>
      </c>
      <c r="Y3228" s="413">
        <f>1000000000000*(V3228*0.001/(W3228*1000000))</f>
        <v>9.0909090909090922E-3</v>
      </c>
      <c r="Z3228" s="12">
        <f>Y3228</f>
        <v>9.0909090909090922E-3</v>
      </c>
    </row>
    <row r="3229" spans="3:26" x14ac:dyDescent="0.35">
      <c r="D3229" s="724"/>
      <c r="I3229" s="155"/>
      <c r="J3229" s="155"/>
      <c r="K3229" s="155"/>
      <c r="L3229" s="1"/>
      <c r="M3229" s="155"/>
      <c r="N3229" s="1"/>
      <c r="S3229" s="413"/>
      <c r="U3229" s="414"/>
      <c r="W3229" s="444"/>
      <c r="Y3229" s="718"/>
      <c r="Z3229" s="15"/>
    </row>
    <row r="3230" spans="3:26" x14ac:dyDescent="0.35">
      <c r="D3230" s="724" t="s">
        <v>6964</v>
      </c>
      <c r="G3230" s="413" t="s">
        <v>7251</v>
      </c>
      <c r="H3230" s="414"/>
      <c r="I3230" s="155"/>
      <c r="J3230" s="155"/>
      <c r="K3230" s="155"/>
      <c r="L3230" s="1"/>
      <c r="M3230" s="155"/>
      <c r="N3230" s="1"/>
      <c r="S3230" s="333" t="s">
        <v>5618</v>
      </c>
      <c r="T3230" s="333" t="s">
        <v>1167</v>
      </c>
      <c r="U3230" s="333" t="s">
        <v>5619</v>
      </c>
      <c r="V3230" s="333" t="s">
        <v>5620</v>
      </c>
      <c r="W3230" s="516" t="s">
        <v>6960</v>
      </c>
      <c r="Y3230" s="333" t="str">
        <f>Y$3214</f>
        <v>pA err 25°C</v>
      </c>
      <c r="Z3230" s="333" t="str">
        <f>Z$3214</f>
        <v>pA err 75°C</v>
      </c>
    </row>
    <row r="3231" spans="3:26" x14ac:dyDescent="0.35">
      <c r="D3231" s="489"/>
      <c r="G3231" s="711" t="s">
        <v>7252</v>
      </c>
      <c r="H3231" s="155"/>
      <c r="I3231" s="155"/>
      <c r="J3231" s="155"/>
      <c r="K3231" s="155"/>
      <c r="L3231" s="1"/>
      <c r="M3231" s="155"/>
      <c r="N3231" s="1"/>
      <c r="R3231" s="721" t="s">
        <v>7016</v>
      </c>
      <c r="S3231" s="155">
        <f>H3212</f>
        <v>102</v>
      </c>
      <c r="T3231" s="312">
        <f>10^(S3231/20)</f>
        <v>125892.54117941685</v>
      </c>
      <c r="U3231" s="10">
        <f>H3195</f>
        <v>1.5429740269809948</v>
      </c>
      <c r="V3231" s="413">
        <f>1000*U3231/T3231</f>
        <v>1.2256278350772283E-2</v>
      </c>
      <c r="W3231" s="13">
        <f>$H$3204</f>
        <v>22</v>
      </c>
      <c r="Y3231" s="413">
        <f>1000000000000*(V3231*0.001/(W3231*1000000))</f>
        <v>0.55710356139874029</v>
      </c>
      <c r="Z3231" s="12">
        <f>Y3231</f>
        <v>0.55710356139874029</v>
      </c>
    </row>
    <row r="3232" spans="3:26" x14ac:dyDescent="0.35">
      <c r="C3232" s="155"/>
      <c r="D3232" s="155"/>
      <c r="E3232" s="155"/>
      <c r="F3232" s="155"/>
      <c r="G3232" s="709"/>
      <c r="H3232" s="155"/>
      <c r="I3232" s="155"/>
      <c r="J3232" s="155"/>
      <c r="K3232" s="155"/>
      <c r="L3232" s="1"/>
      <c r="M3232" s="155"/>
      <c r="N3232" s="1"/>
      <c r="S3232" s="155"/>
      <c r="T3232" s="312"/>
      <c r="V3232" s="413"/>
      <c r="Y3232" s="414"/>
      <c r="Z3232" s="15"/>
    </row>
    <row r="3233" spans="2:26" s="714" customFormat="1" ht="15" thickBot="1" x14ac:dyDescent="0.4">
      <c r="B3233" s="715"/>
      <c r="C3233" s="155"/>
      <c r="D3233" s="155"/>
      <c r="E3233" s="155"/>
      <c r="F3233" s="155"/>
      <c r="G3233" s="723"/>
      <c r="H3233" s="723"/>
      <c r="I3233" s="723"/>
      <c r="J3233" s="723"/>
      <c r="K3233" s="723"/>
      <c r="L3233" s="723"/>
      <c r="M3233" s="723"/>
      <c r="N3233" s="723"/>
      <c r="O3233" s="723"/>
      <c r="P3233" s="723"/>
      <c r="Q3233" s="723"/>
      <c r="R3233" s="723"/>
      <c r="S3233" s="723"/>
      <c r="T3233" s="713"/>
      <c r="U3233" s="713"/>
      <c r="V3233" s="713"/>
      <c r="W3233" s="713"/>
      <c r="X3233" s="713"/>
      <c r="Y3233" s="716" t="str">
        <f>Y$3214</f>
        <v>pA err 25°C</v>
      </c>
      <c r="Z3233" s="716" t="str">
        <f>Z$3214</f>
        <v>pA err 75°C</v>
      </c>
    </row>
    <row r="3234" spans="2:26" ht="15" thickTop="1" x14ac:dyDescent="0.35">
      <c r="C3234" s="155"/>
      <c r="D3234" s="155"/>
      <c r="E3234" s="155"/>
      <c r="F3234" s="155"/>
      <c r="G3234" s="714" t="str">
        <f>X3234</f>
        <v>TOTAL MEASUREMENT ACCURACY Before CALIBRATION, +- MAX ERROR</v>
      </c>
      <c r="L3234" s="1"/>
      <c r="M3234" s="155"/>
      <c r="N3234" s="1"/>
      <c r="W3234" s="73"/>
      <c r="X3234" s="722" t="s">
        <v>7249</v>
      </c>
      <c r="Y3234" s="720">
        <f>SUM(Y3218:Y3232)</f>
        <v>300.57664901594416</v>
      </c>
      <c r="Z3234" s="720">
        <f>SUM(Z3218:Z3232)</f>
        <v>500.57664901594416</v>
      </c>
    </row>
    <row r="3235" spans="2:26" x14ac:dyDescent="0.35">
      <c r="L3235" s="1"/>
      <c r="M3235" s="155"/>
      <c r="N3235" s="1"/>
      <c r="W3235" s="73"/>
      <c r="X3235" s="722"/>
      <c r="Y3235" s="720"/>
      <c r="Z3235" s="720"/>
    </row>
    <row r="3236" spans="2:26" x14ac:dyDescent="0.35">
      <c r="B3236" s="83" t="s">
        <v>3951</v>
      </c>
      <c r="D3236" s="705" t="s">
        <v>6937</v>
      </c>
      <c r="E3236" s="335"/>
      <c r="F3236" s="335"/>
      <c r="R3236" s="162"/>
    </row>
    <row r="3237" spans="2:26" x14ac:dyDescent="0.35">
      <c r="D3237" s="705"/>
      <c r="E3237" s="335"/>
      <c r="F3237" s="335"/>
      <c r="R3237" s="162"/>
    </row>
    <row r="3238" spans="2:26" x14ac:dyDescent="0.35">
      <c r="D3238" t="s">
        <v>7261</v>
      </c>
      <c r="E3238" s="155"/>
      <c r="F3238" s="155"/>
      <c r="G3238" s="155"/>
      <c r="H3238" s="155"/>
      <c r="I3238" s="155"/>
      <c r="J3238" s="155"/>
      <c r="K3238" s="1"/>
      <c r="L3238" s="155"/>
      <c r="M3238" s="1"/>
      <c r="Q3238" s="73"/>
      <c r="R3238" s="1"/>
      <c r="T3238" s="313"/>
      <c r="U3238" s="1"/>
      <c r="W3238" s="313"/>
      <c r="X3238" s="1"/>
    </row>
    <row r="3239" spans="2:26" x14ac:dyDescent="0.35">
      <c r="D3239" t="s">
        <v>7262</v>
      </c>
      <c r="E3239" s="155"/>
      <c r="F3239" s="155"/>
      <c r="G3239" s="155"/>
      <c r="H3239" s="155"/>
      <c r="I3239" s="155"/>
      <c r="J3239" s="155"/>
      <c r="K3239" s="1"/>
      <c r="L3239" s="155"/>
      <c r="M3239" s="1"/>
      <c r="Q3239" s="73"/>
      <c r="R3239" s="1"/>
      <c r="T3239" s="313"/>
      <c r="U3239" s="1"/>
      <c r="W3239" s="313"/>
      <c r="X3239" s="1"/>
    </row>
    <row r="3240" spans="2:26" x14ac:dyDescent="0.35">
      <c r="E3240" s="155"/>
      <c r="F3240" s="155"/>
      <c r="G3240" s="155"/>
      <c r="H3240" s="155"/>
      <c r="I3240" s="155"/>
      <c r="J3240" s="155"/>
      <c r="K3240" s="1"/>
      <c r="L3240" s="155"/>
      <c r="M3240" s="1"/>
      <c r="Q3240" s="73"/>
      <c r="R3240" s="1"/>
      <c r="T3240" s="313"/>
      <c r="U3240" s="1"/>
      <c r="W3240" s="313"/>
      <c r="X3240" s="1"/>
    </row>
    <row r="3241" spans="2:26" x14ac:dyDescent="0.35">
      <c r="B3241" s="83" t="s">
        <v>5145</v>
      </c>
      <c r="D3241" t="s">
        <v>7195</v>
      </c>
      <c r="E3241" s="546"/>
      <c r="F3241" s="155"/>
      <c r="G3241" s="155"/>
      <c r="H3241" s="155"/>
      <c r="I3241" s="155"/>
      <c r="J3241" s="155"/>
      <c r="K3241" s="1"/>
      <c r="L3241" s="155"/>
      <c r="M3241" s="1"/>
      <c r="Q3241" s="73"/>
      <c r="R3241" s="1"/>
      <c r="T3241" s="313"/>
      <c r="U3241" s="1"/>
      <c r="W3241" s="313"/>
      <c r="X3241" s="1"/>
    </row>
    <row r="3242" spans="2:26" x14ac:dyDescent="0.35">
      <c r="D3242" t="s">
        <v>7253</v>
      </c>
      <c r="E3242" s="546"/>
      <c r="F3242" s="155"/>
      <c r="G3242" s="155"/>
      <c r="H3242" s="155"/>
      <c r="I3242" s="155"/>
      <c r="J3242" s="155"/>
      <c r="K3242" s="1"/>
      <c r="L3242" s="155"/>
      <c r="M3242" s="1"/>
      <c r="Q3242" s="73"/>
      <c r="R3242" s="1"/>
      <c r="T3242" s="313"/>
      <c r="U3242" s="1"/>
      <c r="W3242" s="313"/>
      <c r="X3242" s="1"/>
    </row>
    <row r="3243" spans="2:26" x14ac:dyDescent="0.35">
      <c r="D3243" t="s">
        <v>7254</v>
      </c>
      <c r="E3243" s="546"/>
      <c r="F3243" s="325">
        <f>1000000 * 0.000000002 * 20</f>
        <v>0.04</v>
      </c>
      <c r="G3243" s="155" t="s">
        <v>86</v>
      </c>
      <c r="H3243" s="155"/>
      <c r="I3243" s="155"/>
      <c r="J3243" s="155"/>
      <c r="K3243" s="1"/>
      <c r="L3243" s="155"/>
      <c r="Q3243" s="73"/>
      <c r="R3243" s="1"/>
      <c r="T3243" s="313"/>
      <c r="U3243" s="1"/>
      <c r="W3243" s="313"/>
      <c r="X3243" s="1"/>
    </row>
    <row r="3244" spans="2:26" x14ac:dyDescent="0.35">
      <c r="D3244" t="s">
        <v>7256</v>
      </c>
      <c r="E3244" s="546"/>
      <c r="H3244" s="155"/>
      <c r="I3244" s="155"/>
      <c r="J3244" s="155"/>
      <c r="K3244" s="1"/>
      <c r="L3244" s="155"/>
      <c r="Q3244" s="73"/>
      <c r="R3244" s="1"/>
      <c r="T3244" s="313"/>
      <c r="U3244" s="1"/>
      <c r="W3244" s="313"/>
      <c r="X3244" s="1"/>
    </row>
    <row r="3245" spans="2:26" x14ac:dyDescent="0.35">
      <c r="D3245" t="s">
        <v>7257</v>
      </c>
      <c r="E3245" s="546"/>
      <c r="F3245" s="155"/>
      <c r="G3245" s="155"/>
      <c r="H3245" s="155"/>
      <c r="I3245" s="155"/>
      <c r="J3245" s="155"/>
      <c r="K3245" s="1"/>
      <c r="L3245" s="155"/>
      <c r="Q3245" s="73"/>
      <c r="R3245" s="1"/>
      <c r="T3245" s="313"/>
      <c r="U3245" s="1"/>
      <c r="W3245" s="313"/>
      <c r="X3245" s="1"/>
    </row>
    <row r="3246" spans="2:26" x14ac:dyDescent="0.35">
      <c r="D3246" t="s">
        <v>7258</v>
      </c>
      <c r="E3246" s="546"/>
      <c r="F3246" s="155"/>
      <c r="G3246" s="155"/>
      <c r="H3246" s="155"/>
      <c r="I3246" s="155"/>
      <c r="J3246" s="155"/>
      <c r="K3246" s="1"/>
      <c r="L3246" s="155"/>
      <c r="Q3246" s="73"/>
      <c r="R3246" s="1"/>
      <c r="T3246" s="313"/>
      <c r="U3246" s="1"/>
      <c r="W3246" s="313"/>
      <c r="X3246" s="1"/>
    </row>
    <row r="3247" spans="2:26" x14ac:dyDescent="0.35">
      <c r="E3247" s="546"/>
      <c r="F3247" s="155"/>
      <c r="G3247" s="155"/>
      <c r="H3247" s="155"/>
      <c r="I3247" s="155"/>
      <c r="J3247" s="155"/>
      <c r="K3247" s="1"/>
      <c r="L3247" s="155"/>
      <c r="Q3247" s="73"/>
      <c r="R3247" s="1"/>
      <c r="T3247" s="313"/>
      <c r="U3247" s="1"/>
      <c r="W3247" s="313"/>
      <c r="X3247" s="1"/>
    </row>
    <row r="3248" spans="2:26" x14ac:dyDescent="0.35">
      <c r="B3248" s="83" t="s">
        <v>1377</v>
      </c>
      <c r="D3248" t="s">
        <v>7130</v>
      </c>
      <c r="E3248" s="546"/>
      <c r="F3248" s="155"/>
      <c r="G3248" s="155"/>
      <c r="H3248" s="155"/>
      <c r="I3248" s="155"/>
      <c r="J3248" s="155"/>
      <c r="K3248" s="1"/>
      <c r="L3248" s="155"/>
      <c r="Q3248" s="73"/>
      <c r="R3248" s="1" t="s">
        <v>7129</v>
      </c>
      <c r="T3248" s="313" t="s">
        <v>0</v>
      </c>
      <c r="U3248" s="1"/>
      <c r="W3248" s="313" t="s">
        <v>0</v>
      </c>
      <c r="X3248" s="1"/>
    </row>
    <row r="3249" spans="2:28" x14ac:dyDescent="0.35">
      <c r="D3249" t="s">
        <v>7134</v>
      </c>
      <c r="E3249" s="546"/>
      <c r="F3249" s="155"/>
      <c r="G3249" s="155"/>
      <c r="H3249" s="155"/>
      <c r="I3249" s="155"/>
      <c r="J3249" s="155"/>
      <c r="K3249" s="1"/>
      <c r="L3249" s="155"/>
      <c r="M3249" s="1"/>
      <c r="Q3249" s="73"/>
      <c r="R3249" s="1" t="s">
        <v>7133</v>
      </c>
      <c r="T3249" s="313" t="s">
        <v>0</v>
      </c>
      <c r="U3249" s="1"/>
      <c r="W3249" s="313"/>
      <c r="X3249" s="1"/>
    </row>
    <row r="3250" spans="2:28" x14ac:dyDescent="0.35">
      <c r="D3250" t="s">
        <v>7136</v>
      </c>
      <c r="E3250" s="546"/>
      <c r="F3250" s="155"/>
      <c r="G3250" s="155"/>
      <c r="H3250" s="155"/>
      <c r="I3250" s="155"/>
      <c r="J3250" s="155"/>
      <c r="K3250" s="1"/>
      <c r="L3250" s="155"/>
      <c r="M3250" s="1"/>
      <c r="Q3250" s="73"/>
      <c r="R3250" s="1" t="s">
        <v>7135</v>
      </c>
      <c r="T3250" s="313" t="s">
        <v>0</v>
      </c>
      <c r="U3250" s="1"/>
      <c r="W3250" s="313"/>
      <c r="X3250" s="1"/>
    </row>
    <row r="3251" spans="2:28" x14ac:dyDescent="0.35">
      <c r="E3251" s="546"/>
      <c r="F3251" s="155"/>
      <c r="G3251" s="155"/>
      <c r="H3251" s="155"/>
      <c r="I3251" s="155"/>
      <c r="J3251" s="155"/>
      <c r="K3251" s="1"/>
      <c r="L3251" s="155"/>
      <c r="M3251" s="1"/>
      <c r="Q3251" s="73"/>
      <c r="R3251" s="1"/>
      <c r="T3251" s="313"/>
      <c r="U3251" s="1"/>
      <c r="W3251" s="313"/>
      <c r="X3251" s="1"/>
    </row>
    <row r="3252" spans="2:28" x14ac:dyDescent="0.35">
      <c r="B3252" s="83" t="s">
        <v>5623</v>
      </c>
      <c r="D3252" s="155" t="s">
        <v>5425</v>
      </c>
      <c r="E3252" s="155"/>
      <c r="F3252" s="155" t="s">
        <v>4797</v>
      </c>
      <c r="G3252" s="1"/>
      <c r="H3252" s="1" t="s">
        <v>4023</v>
      </c>
      <c r="J3252" s="155"/>
      <c r="O3252" s="295"/>
      <c r="Q3252" s="295"/>
      <c r="R3252" s="295"/>
      <c r="V3252" s="295"/>
      <c r="W3252" s="1"/>
      <c r="X3252" s="1"/>
    </row>
    <row r="3253" spans="2:28" x14ac:dyDescent="0.35">
      <c r="D3253" t="s">
        <v>5427</v>
      </c>
      <c r="E3253" s="155"/>
      <c r="F3253" s="155" t="s">
        <v>4797</v>
      </c>
      <c r="G3253" s="155"/>
      <c r="H3253" s="1" t="s">
        <v>4021</v>
      </c>
      <c r="I3253" s="155"/>
      <c r="J3253" s="155"/>
      <c r="O3253" s="1"/>
      <c r="T3253" s="155"/>
      <c r="V3253" s="313"/>
      <c r="W3253" s="1"/>
      <c r="X3253" s="1"/>
    </row>
    <row r="3254" spans="2:28" x14ac:dyDescent="0.35">
      <c r="E3254" s="155"/>
      <c r="F3254" s="155"/>
      <c r="G3254" s="155"/>
      <c r="H3254" s="1"/>
      <c r="I3254" s="155"/>
      <c r="J3254" s="155"/>
      <c r="O3254" s="1"/>
      <c r="T3254" s="155"/>
      <c r="V3254" s="313"/>
      <c r="W3254" s="1"/>
      <c r="X3254" s="1"/>
    </row>
    <row r="3255" spans="2:28" x14ac:dyDescent="0.35">
      <c r="B3255" s="83" t="s">
        <v>7224</v>
      </c>
      <c r="E3255" s="155"/>
      <c r="F3255" s="155"/>
      <c r="G3255" s="155"/>
      <c r="H3255" s="1"/>
      <c r="I3255" s="155"/>
      <c r="J3255" s="155"/>
      <c r="O3255" s="1"/>
      <c r="T3255" s="155"/>
      <c r="V3255" s="313"/>
      <c r="W3255" s="1"/>
      <c r="X3255" s="1"/>
    </row>
    <row r="3256" spans="2:28" ht="24.5" x14ac:dyDescent="0.35">
      <c r="D3256" s="123" t="s">
        <v>2956</v>
      </c>
      <c r="E3256" s="4"/>
      <c r="F3256" s="123" t="s">
        <v>620</v>
      </c>
      <c r="G3256" s="123" t="s">
        <v>2977</v>
      </c>
      <c r="H3256" s="123" t="s">
        <v>2950</v>
      </c>
      <c r="I3256" s="123" t="s">
        <v>7197</v>
      </c>
      <c r="J3256" s="123" t="s">
        <v>2982</v>
      </c>
      <c r="K3256" s="123" t="s">
        <v>2983</v>
      </c>
      <c r="L3256" s="123" t="s">
        <v>2979</v>
      </c>
      <c r="M3256" s="123" t="s">
        <v>2978</v>
      </c>
      <c r="N3256" s="123" t="s">
        <v>7204</v>
      </c>
      <c r="O3256" s="4"/>
      <c r="P3256" s="123" t="s">
        <v>7207</v>
      </c>
      <c r="Q3256" s="123" t="s">
        <v>3181</v>
      </c>
      <c r="R3256" s="123" t="s">
        <v>3187</v>
      </c>
      <c r="S3256" s="123" t="s">
        <v>2980</v>
      </c>
      <c r="T3256" s="123" t="s">
        <v>2961</v>
      </c>
      <c r="V3256" s="740" t="s">
        <v>0</v>
      </c>
      <c r="W3256" s="1"/>
      <c r="X3256" s="1"/>
    </row>
    <row r="3257" spans="2:28" x14ac:dyDescent="0.35">
      <c r="D3257" s="326" t="s">
        <v>7166</v>
      </c>
      <c r="E3257" s="318"/>
      <c r="F3257" s="323">
        <v>3.5000000000000003E-2</v>
      </c>
      <c r="G3257" s="657">
        <v>1E-3</v>
      </c>
      <c r="H3257" s="319">
        <v>25</v>
      </c>
      <c r="I3257" s="73" t="s">
        <v>7199</v>
      </c>
      <c r="J3257" s="313" t="s">
        <v>6424</v>
      </c>
      <c r="K3257" s="313" t="s">
        <v>6427</v>
      </c>
      <c r="L3257" s="320">
        <v>0.125</v>
      </c>
      <c r="M3257" s="660" t="str">
        <f>"0805"</f>
        <v>0805</v>
      </c>
      <c r="N3257" s="135"/>
      <c r="P3257" s="128" t="s">
        <v>7206</v>
      </c>
      <c r="Q3257" s="318">
        <v>50</v>
      </c>
      <c r="R3257" s="324">
        <f>H3257*Q3257*0.000001</f>
        <v>1.25E-3</v>
      </c>
      <c r="S3257" s="321">
        <f>G3257+R3257</f>
        <v>2.2500000000000003E-3</v>
      </c>
      <c r="T3257" s="739" t="s">
        <v>7165</v>
      </c>
      <c r="U3257" t="s">
        <v>0</v>
      </c>
      <c r="V3257" s="12"/>
      <c r="W3257" s="12"/>
      <c r="X3257" s="12"/>
      <c r="Y3257" s="12"/>
      <c r="Z3257" s="12"/>
      <c r="AA3257" s="12"/>
      <c r="AB3257" s="12"/>
    </row>
    <row r="3258" spans="2:28" x14ac:dyDescent="0.35">
      <c r="D3258" t="s">
        <v>7221</v>
      </c>
      <c r="E3258" s="155"/>
      <c r="F3258" s="323">
        <v>8.3000000000000004E-2</v>
      </c>
      <c r="G3258" s="318" t="s">
        <v>3919</v>
      </c>
      <c r="H3258" s="318" t="s">
        <v>3919</v>
      </c>
      <c r="I3258" s="73" t="s">
        <v>7198</v>
      </c>
      <c r="J3258" s="318" t="s">
        <v>3919</v>
      </c>
      <c r="K3258" s="318" t="s">
        <v>3919</v>
      </c>
      <c r="L3258" s="318" t="s">
        <v>3919</v>
      </c>
      <c r="M3258" s="318" t="s">
        <v>3919</v>
      </c>
      <c r="N3258" s="743" t="s">
        <v>7205</v>
      </c>
      <c r="P3258" s="325" t="s">
        <v>7208</v>
      </c>
      <c r="Q3258" s="318" t="s">
        <v>3919</v>
      </c>
      <c r="R3258" s="318" t="s">
        <v>3919</v>
      </c>
      <c r="S3258" s="318" t="s">
        <v>3919</v>
      </c>
      <c r="T3258" s="1" t="s">
        <v>7220</v>
      </c>
      <c r="U3258" t="s">
        <v>0</v>
      </c>
      <c r="V3258" s="12"/>
      <c r="W3258" s="1"/>
      <c r="X3258" s="1"/>
    </row>
    <row r="3259" spans="2:28" x14ac:dyDescent="0.35">
      <c r="D3259" t="s">
        <v>7196</v>
      </c>
      <c r="E3259" s="155"/>
      <c r="F3259" s="323">
        <v>0.03</v>
      </c>
      <c r="G3259" s="321">
        <v>0.01</v>
      </c>
      <c r="H3259" s="318">
        <v>50</v>
      </c>
      <c r="I3259" s="318" t="s">
        <v>7200</v>
      </c>
      <c r="J3259" s="318"/>
      <c r="K3259" s="318"/>
      <c r="L3259" s="318"/>
      <c r="M3259" s="660" t="str">
        <f>"0805"</f>
        <v>0805</v>
      </c>
      <c r="N3259" s="743" t="s">
        <v>7203</v>
      </c>
      <c r="P3259" s="128" t="s">
        <v>7212</v>
      </c>
      <c r="Q3259" s="318">
        <v>50</v>
      </c>
      <c r="R3259" s="324">
        <f>H3259*Q3259*0.000001</f>
        <v>2.5000000000000001E-3</v>
      </c>
      <c r="S3259" s="321">
        <f>G3259+R3259</f>
        <v>1.2500000000000001E-2</v>
      </c>
      <c r="T3259" s="1" t="s">
        <v>7201</v>
      </c>
      <c r="U3259" t="s">
        <v>0</v>
      </c>
      <c r="V3259" s="12"/>
      <c r="W3259" s="1"/>
      <c r="X3259" s="1"/>
    </row>
    <row r="3260" spans="2:28" x14ac:dyDescent="0.35">
      <c r="C3260" s="351" t="s">
        <v>3063</v>
      </c>
      <c r="D3260" t="s">
        <v>7222</v>
      </c>
      <c r="E3260" s="155"/>
      <c r="F3260" s="323">
        <v>2.7E-2</v>
      </c>
      <c r="G3260" s="318" t="s">
        <v>3919</v>
      </c>
      <c r="H3260" s="318">
        <v>200</v>
      </c>
      <c r="I3260" s="318" t="s">
        <v>7223</v>
      </c>
      <c r="J3260" s="318"/>
      <c r="K3260" s="318"/>
      <c r="L3260" s="318"/>
      <c r="M3260" s="660" t="str">
        <f>"0805"</f>
        <v>0805</v>
      </c>
      <c r="N3260" s="743" t="s">
        <v>7259</v>
      </c>
      <c r="P3260" s="128"/>
      <c r="Q3260" s="318"/>
      <c r="R3260" s="324"/>
      <c r="S3260" s="321"/>
      <c r="T3260" s="1"/>
      <c r="V3260" s="12"/>
      <c r="W3260" s="1"/>
      <c r="X3260" s="1"/>
    </row>
    <row r="3261" spans="2:28" x14ac:dyDescent="0.35">
      <c r="E3261" s="155"/>
      <c r="F3261" s="155"/>
      <c r="G3261" s="155"/>
      <c r="H3261" s="1"/>
      <c r="I3261" s="155"/>
      <c r="J3261" s="155"/>
      <c r="O3261" s="1"/>
      <c r="T3261" s="1"/>
      <c r="V3261" s="12"/>
      <c r="W3261" s="1"/>
      <c r="X3261" s="1"/>
    </row>
    <row r="3262" spans="2:28" x14ac:dyDescent="0.35">
      <c r="B3262" s="83" t="s">
        <v>7169</v>
      </c>
      <c r="E3262" s="155"/>
      <c r="F3262" s="155"/>
      <c r="G3262" s="155"/>
      <c r="H3262" s="1"/>
      <c r="I3262" s="155"/>
      <c r="J3262" s="155"/>
      <c r="O3262" s="1"/>
      <c r="T3262" s="1"/>
      <c r="V3262" s="12"/>
      <c r="W3262" s="1"/>
      <c r="X3262" s="1"/>
    </row>
    <row r="3263" spans="2:28" x14ac:dyDescent="0.35">
      <c r="E3263" s="155"/>
      <c r="F3263" s="155"/>
      <c r="G3263" s="155"/>
      <c r="H3263" s="1"/>
      <c r="I3263" s="155"/>
      <c r="J3263" s="155"/>
      <c r="O3263" s="1"/>
      <c r="T3263" s="1"/>
      <c r="V3263" s="12"/>
      <c r="W3263" s="1"/>
      <c r="X3263" s="1"/>
    </row>
    <row r="3264" spans="2:28" s="690" customFormat="1" x14ac:dyDescent="0.35">
      <c r="B3264" s="747"/>
      <c r="F3264" s="748"/>
      <c r="G3264" s="748"/>
      <c r="H3264" s="749" t="s">
        <v>7189</v>
      </c>
      <c r="I3264" s="748"/>
      <c r="J3264" s="748"/>
      <c r="K3264" s="81"/>
      <c r="M3264" s="81"/>
      <c r="N3264" s="749" t="s">
        <v>3078</v>
      </c>
      <c r="O3264" s="750"/>
      <c r="R3264" s="81"/>
      <c r="S3264" s="81"/>
      <c r="T3264" s="749" t="s">
        <v>7193</v>
      </c>
      <c r="U3264" s="750"/>
      <c r="V3264" s="81"/>
      <c r="W3264" s="751"/>
      <c r="X3264" s="751"/>
    </row>
    <row r="3265" spans="2:25" ht="24.5" customHeight="1" x14ac:dyDescent="0.35">
      <c r="E3265" s="155"/>
      <c r="F3265" s="123" t="s">
        <v>7171</v>
      </c>
      <c r="G3265" s="123" t="s">
        <v>7170</v>
      </c>
      <c r="H3265" s="1"/>
      <c r="I3265" s="123" t="s">
        <v>4091</v>
      </c>
      <c r="J3265" s="155"/>
      <c r="M3265" s="123" t="s">
        <v>5612</v>
      </c>
      <c r="N3265" s="123" t="s">
        <v>5611</v>
      </c>
      <c r="O3265" s="123" t="s">
        <v>7182</v>
      </c>
      <c r="R3265" s="333" t="s">
        <v>7183</v>
      </c>
      <c r="S3265" s="333" t="s">
        <v>7184</v>
      </c>
      <c r="T3265" s="123" t="s">
        <v>7190</v>
      </c>
      <c r="U3265" s="123" t="s">
        <v>7185</v>
      </c>
      <c r="V3265" s="123" t="s">
        <v>7191</v>
      </c>
    </row>
    <row r="3266" spans="2:25" x14ac:dyDescent="0.35">
      <c r="C3266" s="351" t="s">
        <v>3063</v>
      </c>
      <c r="D3266" t="s">
        <v>7179</v>
      </c>
      <c r="E3266" s="155"/>
      <c r="F3266" s="670">
        <v>0.3</v>
      </c>
      <c r="G3266" s="670">
        <v>6</v>
      </c>
      <c r="H3266" s="1"/>
      <c r="I3266" s="155" t="s">
        <v>7178</v>
      </c>
      <c r="J3266" s="155"/>
      <c r="M3266" s="708" t="str">
        <f>G3304</f>
        <v>2ty 15mx µVos @ 25°C,     0.02µV/C typical x 50°C = 1µVos additional (16typ µV total max over temp)</v>
      </c>
      <c r="N3266" s="472" t="str">
        <f>I3304</f>
        <v>102 min with Vcm = -0.1 to (Vcc+0.1V)</v>
      </c>
      <c r="O3266" s="472" t="str">
        <f>M3304</f>
        <v>75typ pA @ 25C,    150pA typ over temp (125C),   max not specified,     Fig 7 shows bias not getting much worse as you increase temperature.  Graph shows input bias changing 7pA (195 to 202pA) when you change Cmv from 1V to 4V (this is an error that we see, 7pA x 50K = 0.35uVos)</v>
      </c>
      <c r="Q3266" t="s">
        <v>0</v>
      </c>
      <c r="R3266" s="162">
        <f t="shared" ref="R3266:S3270" si="195">R$3268</f>
        <v>30000</v>
      </c>
      <c r="S3266" s="162">
        <f t="shared" si="195"/>
        <v>30000</v>
      </c>
      <c r="T3266" s="13">
        <f>(G3266*0.000001)*SUM(R3266:S3266)+F3266</f>
        <v>0.65999999999999992</v>
      </c>
      <c r="U3266" s="395">
        <f t="shared" ref="U3266:U3270" si="196">U$3268</f>
        <v>2700000</v>
      </c>
      <c r="V3266" s="13">
        <f>(T3266/U3266)*1000000</f>
        <v>0.24444444444444438</v>
      </c>
      <c r="W3266" s="1"/>
      <c r="X3266" s="1"/>
    </row>
    <row r="3267" spans="2:25" x14ac:dyDescent="0.35">
      <c r="D3267" t="s">
        <v>7177</v>
      </c>
      <c r="E3267" s="155"/>
      <c r="F3267" s="670">
        <v>0.3</v>
      </c>
      <c r="G3267" s="670">
        <v>6</v>
      </c>
      <c r="H3267" s="1"/>
      <c r="I3267" s="155" t="s">
        <v>7173</v>
      </c>
      <c r="J3267" s="155"/>
      <c r="M3267" s="708" t="str">
        <f>G3307</f>
        <v>8ty 50mx µVos @ 25C,      0.25max µV/C OT x 50C = 12µVos additional (62µV total max over temp)</v>
      </c>
      <c r="N3267" s="472" t="str">
        <f>I3307</f>
        <v>100 min with Vcm = -0.1V to (Vcc+0.1V) over temp (very good)</v>
      </c>
      <c r="O3267" s="472" t="str">
        <f>M3307</f>
        <v>70typ 300max pA @ 25°C,          300 typ (not max) pA over temp (125°C) with Vcc=5V</v>
      </c>
      <c r="Q3267" t="s">
        <v>0</v>
      </c>
      <c r="R3267" s="162">
        <f>R$3268</f>
        <v>30000</v>
      </c>
      <c r="S3267" s="162">
        <f>S$3268</f>
        <v>30000</v>
      </c>
      <c r="T3267" s="13">
        <f>(G3267*0.000001)*SUM(R3267:S3267)+F3267</f>
        <v>0.65999999999999992</v>
      </c>
      <c r="U3267" s="395">
        <f>U$3268</f>
        <v>2700000</v>
      </c>
      <c r="V3267" s="13">
        <f>(T3267/U3267)*1000000</f>
        <v>0.24444444444444438</v>
      </c>
    </row>
    <row r="3268" spans="2:25" x14ac:dyDescent="0.35">
      <c r="D3268" t="s">
        <v>7172</v>
      </c>
      <c r="E3268" s="155"/>
      <c r="F3268" s="670">
        <v>2</v>
      </c>
      <c r="G3268" s="670">
        <v>0.3</v>
      </c>
      <c r="H3268" s="1"/>
      <c r="I3268" s="155" t="s">
        <v>7174</v>
      </c>
      <c r="J3268" s="155"/>
      <c r="M3268" s="708" t="str">
        <f>G3309</f>
        <v>8mx µVos @ 25°C,      0.015max µV/°C OT x 50°C = 1max µVos additional (9max total over temp)</v>
      </c>
      <c r="N3268" s="472" t="str">
        <f>I3309</f>
        <v>120 min with Vcm = -0.2 to (Vcc+0.3V)</v>
      </c>
      <c r="O3268" s="472" t="str">
        <f>M3309</f>
        <v>1typ 50max pA @ 25°C,        20typ pA @ 85°C (perhaps max is 7x more than 20pA typ = 150pA ?)</v>
      </c>
      <c r="Q3268" t="s">
        <v>0</v>
      </c>
      <c r="R3268" s="741">
        <v>30000</v>
      </c>
      <c r="S3268" s="741">
        <v>30000</v>
      </c>
      <c r="T3268" s="13">
        <f>(G3268*0.000001)*SUM(R3268:S3268)+F3268</f>
        <v>2.0179999999999998</v>
      </c>
      <c r="U3268" s="742">
        <v>2700000</v>
      </c>
      <c r="V3268" s="13">
        <f>(T3268/U3268)*1000000</f>
        <v>0.7474074074074073</v>
      </c>
      <c r="X3268" t="s">
        <v>7194</v>
      </c>
    </row>
    <row r="3269" spans="2:25" x14ac:dyDescent="0.35">
      <c r="D3269" t="s">
        <v>7176</v>
      </c>
      <c r="E3269" s="155"/>
      <c r="F3269" s="670">
        <v>30</v>
      </c>
      <c r="G3269" s="670">
        <v>7</v>
      </c>
      <c r="H3269" s="1"/>
      <c r="I3269" s="155" t="s">
        <v>7175</v>
      </c>
      <c r="J3269" s="155"/>
      <c r="M3269" s="708" t="str">
        <f>G3297</f>
        <v>5ty 25mx µVos @ 25°C,      0.25typ 1max µV/°C OT x 50°C = 12typ 50max µVos additional (17typ 75max total over temp)</v>
      </c>
      <c r="N3269" s="472" t="str">
        <f>I3297</f>
        <v>72 min with Vcm = 0V to (Vcc-1.3V) @ 25C.        Figure 23 shows this as being 10x better if you work with Vcm = 1V to (Vcc-1.3V)</v>
      </c>
      <c r="O3269" s="472" t="str">
        <f>M3297</f>
        <v>0.2typ 10max pA @ 25°C,        Fig 11 shows 20typ @ 75°C and 200typ at 125°C.           Note that OPAx325 is also 0.2typ/10max at 25C yet it also says 500 max @ 85°C and 10,000 max @ 125°C</v>
      </c>
      <c r="Q3269" t="s">
        <v>0</v>
      </c>
      <c r="R3269" s="162">
        <f t="shared" si="195"/>
        <v>30000</v>
      </c>
      <c r="S3269" s="162">
        <f t="shared" si="195"/>
        <v>30000</v>
      </c>
      <c r="T3269" s="13">
        <f t="shared" ref="T3269:T3270" si="197">(G3269*0.000001)*SUM(R3269:S3269)+F3269</f>
        <v>30.42</v>
      </c>
      <c r="U3269" s="395">
        <f t="shared" si="196"/>
        <v>2700000</v>
      </c>
      <c r="V3269" s="13">
        <f t="shared" ref="V3269:V3270" si="198">(T3269/U3269)*1000000</f>
        <v>11.266666666666667</v>
      </c>
      <c r="W3269" s="1"/>
      <c r="X3269" s="1"/>
    </row>
    <row r="3270" spans="2:25" x14ac:dyDescent="0.35">
      <c r="D3270" t="s">
        <v>7181</v>
      </c>
      <c r="E3270" s="155"/>
      <c r="F3270" s="670">
        <v>0.8</v>
      </c>
      <c r="G3270" s="670">
        <v>24</v>
      </c>
      <c r="H3270" s="1"/>
      <c r="I3270" s="155" t="s">
        <v>7180</v>
      </c>
      <c r="J3270" s="155"/>
      <c r="M3270" s="708" t="str">
        <f>G3306</f>
        <v>8mx µVos over temp (very good) with Vcc = 5V</v>
      </c>
      <c r="N3270" s="472" t="str">
        <f>I3306</f>
        <v>115 min with Vcm = 0V to Vcc over temp (very good) and Vcc = 5V</v>
      </c>
      <c r="O3270" s="472" t="str">
        <f>M3306</f>
        <v>70typ 200max pA @ 25°C,          300max pA over temp (125°C) with Vcc=5V,           several figures show some more iib data</v>
      </c>
      <c r="Q3270" t="s">
        <v>0</v>
      </c>
      <c r="R3270" s="162">
        <f t="shared" si="195"/>
        <v>30000</v>
      </c>
      <c r="S3270" s="162">
        <f t="shared" si="195"/>
        <v>30000</v>
      </c>
      <c r="T3270" s="13">
        <f t="shared" si="197"/>
        <v>2.2400000000000002</v>
      </c>
      <c r="U3270" s="395">
        <f t="shared" si="196"/>
        <v>2700000</v>
      </c>
      <c r="V3270" s="13">
        <f t="shared" si="198"/>
        <v>0.82962962962962972</v>
      </c>
      <c r="W3270" s="1"/>
      <c r="X3270" s="1"/>
    </row>
    <row r="3271" spans="2:25" x14ac:dyDescent="0.35">
      <c r="E3271" s="155"/>
      <c r="F3271" s="155"/>
      <c r="G3271" s="155"/>
      <c r="H3271" s="1"/>
      <c r="I3271" s="155"/>
      <c r="J3271" s="155"/>
      <c r="O3271" s="1"/>
      <c r="T3271" s="1"/>
      <c r="V3271" s="12"/>
      <c r="W3271" s="1"/>
      <c r="X3271" s="1"/>
    </row>
    <row r="3272" spans="2:25" x14ac:dyDescent="0.35">
      <c r="B3272" s="83" t="s">
        <v>7164</v>
      </c>
      <c r="Q3272" s="73"/>
      <c r="R3272" s="1"/>
      <c r="T3272" s="313"/>
      <c r="U3272" s="1"/>
      <c r="W3272" s="313"/>
      <c r="X3272" s="1"/>
    </row>
    <row r="3273" spans="2:25" ht="24.5" x14ac:dyDescent="0.35">
      <c r="D3273" s="4" t="s">
        <v>1842</v>
      </c>
      <c r="E3273" s="4"/>
      <c r="F3273" s="123" t="s">
        <v>5597</v>
      </c>
      <c r="G3273" s="123" t="s">
        <v>5612</v>
      </c>
      <c r="I3273" s="123" t="s">
        <v>5611</v>
      </c>
      <c r="J3273" s="4"/>
      <c r="K3273" s="123" t="s">
        <v>6949</v>
      </c>
      <c r="L3273" s="123" t="s">
        <v>7186</v>
      </c>
      <c r="M3273" s="4"/>
      <c r="N3273" s="4" t="s">
        <v>5596</v>
      </c>
      <c r="O3273" s="4"/>
      <c r="V3273" s="1"/>
      <c r="X3273" s="313"/>
      <c r="Y3273" s="1"/>
    </row>
    <row r="3274" spans="2:25" x14ac:dyDescent="0.35">
      <c r="D3274" s="7"/>
      <c r="E3274" s="7"/>
      <c r="F3274" s="297"/>
      <c r="G3274" s="297"/>
      <c r="I3274" s="297"/>
      <c r="J3274" s="7"/>
      <c r="K3274" s="297"/>
      <c r="M3274" s="7"/>
      <c r="N3274" s="7"/>
      <c r="O3274" s="7"/>
      <c r="V3274" s="1"/>
      <c r="X3274" s="313"/>
      <c r="Y3274" s="1"/>
    </row>
    <row r="3275" spans="2:25" x14ac:dyDescent="0.35">
      <c r="D3275" s="401" t="s">
        <v>7106</v>
      </c>
      <c r="F3275" s="138"/>
      <c r="G3275" s="472"/>
      <c r="I3275" s="135"/>
      <c r="J3275" s="135"/>
      <c r="M3275" s="7"/>
      <c r="N3275" s="7"/>
      <c r="O3275" s="7"/>
      <c r="V3275" s="1"/>
      <c r="X3275" s="313"/>
      <c r="Y3275" s="1"/>
    </row>
    <row r="3276" spans="2:25" x14ac:dyDescent="0.35">
      <c r="C3276" s="351"/>
      <c r="D3276" t="s">
        <v>7081</v>
      </c>
      <c r="F3276" s="295" t="s">
        <v>3361</v>
      </c>
      <c r="G3276" s="472" t="s">
        <v>6948</v>
      </c>
      <c r="I3276" s="472" t="s">
        <v>6947</v>
      </c>
      <c r="J3276" s="135"/>
      <c r="K3276" s="472">
        <v>4</v>
      </c>
      <c r="M3276" s="135" t="s">
        <v>6941</v>
      </c>
      <c r="N3276" s="155"/>
      <c r="O3276" s="155"/>
      <c r="P3276" s="155"/>
      <c r="Q3276" s="1"/>
      <c r="R3276" s="155"/>
      <c r="S3276" s="1"/>
      <c r="V3276" s="1" t="s">
        <v>6940</v>
      </c>
      <c r="X3276" s="313" t="s">
        <v>0</v>
      </c>
      <c r="Y3276" t="s">
        <v>6946</v>
      </c>
    </row>
    <row r="3278" spans="2:25" x14ac:dyDescent="0.35">
      <c r="D3278" t="s">
        <v>7082</v>
      </c>
      <c r="E3278" s="546"/>
      <c r="F3278" s="295" t="s">
        <v>5595</v>
      </c>
      <c r="G3278" s="472" t="s">
        <v>7060</v>
      </c>
      <c r="I3278" s="472" t="s">
        <v>6953</v>
      </c>
      <c r="J3278" s="135"/>
      <c r="K3278" s="472">
        <v>30</v>
      </c>
      <c r="M3278" s="135" t="s">
        <v>6954</v>
      </c>
      <c r="N3278" s="155"/>
      <c r="O3278" s="1"/>
      <c r="P3278" s="155"/>
      <c r="Q3278" s="1"/>
      <c r="U3278" s="73"/>
      <c r="V3278" s="1"/>
      <c r="X3278" s="313" t="s">
        <v>0</v>
      </c>
      <c r="Y3278" s="1"/>
    </row>
    <row r="3279" spans="2:25" x14ac:dyDescent="0.35">
      <c r="E3279" s="546"/>
      <c r="F3279" s="295"/>
      <c r="G3279" s="472"/>
      <c r="I3279" s="472"/>
      <c r="J3279" s="135"/>
      <c r="K3279" s="472"/>
      <c r="M3279" s="135"/>
      <c r="N3279" s="155"/>
      <c r="O3279" s="1"/>
      <c r="P3279" s="155"/>
      <c r="Q3279" s="1"/>
      <c r="U3279" s="73"/>
      <c r="V3279" s="1"/>
      <c r="X3279" s="313"/>
      <c r="Y3279" s="1"/>
    </row>
    <row r="3280" spans="2:25" x14ac:dyDescent="0.35">
      <c r="D3280" t="s">
        <v>7084</v>
      </c>
      <c r="E3280" s="546"/>
      <c r="F3280" s="295" t="s">
        <v>5595</v>
      </c>
      <c r="G3280" s="472" t="s">
        <v>7061</v>
      </c>
      <c r="I3280" s="472" t="s">
        <v>6417</v>
      </c>
      <c r="J3280" s="135"/>
      <c r="K3280" s="472">
        <v>100</v>
      </c>
      <c r="M3280" s="135" t="s">
        <v>7120</v>
      </c>
      <c r="N3280" s="155"/>
      <c r="O3280" s="1"/>
      <c r="P3280" s="155"/>
      <c r="Q3280" s="1"/>
      <c r="U3280" s="73"/>
      <c r="V3280" s="1"/>
      <c r="X3280" s="313" t="s">
        <v>0</v>
      </c>
      <c r="Y3280" s="1"/>
    </row>
    <row r="3281" spans="1:25" x14ac:dyDescent="0.35">
      <c r="D3281" t="s">
        <v>7085</v>
      </c>
      <c r="E3281" s="546"/>
      <c r="F3281" s="295" t="s">
        <v>5595</v>
      </c>
      <c r="G3281" s="472" t="s">
        <v>7062</v>
      </c>
      <c r="I3281" s="472" t="s">
        <v>122</v>
      </c>
      <c r="J3281" s="135"/>
      <c r="K3281" s="135" t="s">
        <v>122</v>
      </c>
      <c r="M3281" s="135" t="s">
        <v>122</v>
      </c>
      <c r="N3281" s="155"/>
      <c r="O3281" s="1"/>
      <c r="P3281" s="155" t="s">
        <v>6955</v>
      </c>
      <c r="Q3281" s="1"/>
      <c r="U3281" s="73"/>
      <c r="V3281" s="1"/>
      <c r="X3281" s="313" t="s">
        <v>0</v>
      </c>
      <c r="Y3281" s="1"/>
    </row>
    <row r="3282" spans="1:25" x14ac:dyDescent="0.35">
      <c r="E3282" s="546"/>
      <c r="F3282" s="295"/>
      <c r="G3282" s="472"/>
      <c r="I3282" s="472"/>
      <c r="J3282" s="135"/>
      <c r="M3282" s="135"/>
      <c r="N3282" s="155"/>
      <c r="O3282" s="1"/>
      <c r="P3282" s="155"/>
      <c r="Q3282" s="1"/>
      <c r="U3282" s="73"/>
      <c r="V3282" s="1"/>
      <c r="X3282" s="313" t="s">
        <v>0</v>
      </c>
      <c r="Y3282" s="1"/>
    </row>
    <row r="3283" spans="1:25" x14ac:dyDescent="0.35">
      <c r="D3283" t="s">
        <v>6362</v>
      </c>
      <c r="E3283" s="546"/>
      <c r="F3283" s="295" t="s">
        <v>5595</v>
      </c>
      <c r="G3283" s="472" t="s">
        <v>6361</v>
      </c>
      <c r="I3283" s="472" t="s">
        <v>6977</v>
      </c>
      <c r="J3283" s="135"/>
      <c r="K3283" s="472">
        <v>100</v>
      </c>
      <c r="M3283" s="135" t="s">
        <v>122</v>
      </c>
      <c r="N3283" s="155"/>
      <c r="O3283" s="1"/>
      <c r="Q3283" s="1"/>
      <c r="U3283" s="73"/>
      <c r="V3283" s="1"/>
      <c r="X3283" s="313" t="s">
        <v>0</v>
      </c>
      <c r="Y3283" s="1"/>
    </row>
    <row r="3284" spans="1:25" x14ac:dyDescent="0.35">
      <c r="D3284" t="s">
        <v>7086</v>
      </c>
      <c r="E3284" s="546"/>
      <c r="F3284" s="295" t="s">
        <v>3361</v>
      </c>
      <c r="G3284" s="472" t="s">
        <v>6815</v>
      </c>
      <c r="I3284" s="472" t="s">
        <v>6360</v>
      </c>
      <c r="J3284" s="135"/>
      <c r="K3284" s="472" t="s">
        <v>4309</v>
      </c>
      <c r="M3284" s="135" t="s">
        <v>6355</v>
      </c>
      <c r="N3284" s="155"/>
      <c r="O3284" s="1"/>
      <c r="P3284" s="155"/>
      <c r="Q3284" s="1"/>
      <c r="U3284" s="73"/>
      <c r="V3284" s="1"/>
      <c r="X3284" s="313" t="s">
        <v>0</v>
      </c>
      <c r="Y3284" s="1"/>
    </row>
    <row r="3285" spans="1:25" x14ac:dyDescent="0.35">
      <c r="E3285" s="546"/>
      <c r="F3285" s="295"/>
      <c r="G3285" s="472"/>
      <c r="I3285" s="472"/>
      <c r="J3285" s="135"/>
      <c r="M3285" s="135"/>
      <c r="N3285" s="155"/>
      <c r="O3285" s="1"/>
      <c r="P3285" s="155"/>
      <c r="Q3285" s="1"/>
      <c r="U3285" s="73"/>
      <c r="V3285" s="1"/>
      <c r="X3285" s="313" t="s">
        <v>0</v>
      </c>
      <c r="Y3285" s="1"/>
    </row>
    <row r="3286" spans="1:25" x14ac:dyDescent="0.35">
      <c r="D3286" t="s">
        <v>7087</v>
      </c>
      <c r="E3286" s="546"/>
      <c r="F3286" s="295" t="s">
        <v>3361</v>
      </c>
      <c r="G3286" s="708" t="s">
        <v>7063</v>
      </c>
      <c r="I3286" s="472" t="s">
        <v>6952</v>
      </c>
      <c r="J3286" s="135"/>
      <c r="K3286" s="472">
        <v>100</v>
      </c>
      <c r="M3286" s="135" t="s">
        <v>7074</v>
      </c>
      <c r="N3286" s="155"/>
      <c r="O3286" s="1"/>
      <c r="P3286" s="155"/>
      <c r="Q3286" s="1"/>
      <c r="U3286" s="73"/>
      <c r="V3286" s="1" t="s">
        <v>5607</v>
      </c>
      <c r="X3286" s="313" t="s">
        <v>0</v>
      </c>
      <c r="Y3286" s="1"/>
    </row>
    <row r="3287" spans="1:25" x14ac:dyDescent="0.35">
      <c r="E3287" s="546"/>
      <c r="F3287" s="295"/>
      <c r="G3287" s="708"/>
      <c r="I3287" s="472"/>
      <c r="J3287" s="135"/>
      <c r="K3287" s="472"/>
      <c r="M3287" s="135"/>
      <c r="N3287" s="155"/>
      <c r="O3287" s="1"/>
      <c r="P3287" s="155"/>
      <c r="Q3287" s="1"/>
      <c r="U3287" s="73"/>
      <c r="V3287" s="1"/>
      <c r="X3287" s="313"/>
      <c r="Y3287" s="1"/>
    </row>
    <row r="3288" spans="1:25" x14ac:dyDescent="0.35">
      <c r="D3288" t="s">
        <v>7091</v>
      </c>
      <c r="E3288" s="546"/>
      <c r="F3288" s="295" t="s">
        <v>5595</v>
      </c>
      <c r="G3288" s="472" t="s">
        <v>7064</v>
      </c>
      <c r="I3288" s="472" t="s">
        <v>6994</v>
      </c>
      <c r="J3288" s="135"/>
      <c r="K3288" s="472">
        <v>200</v>
      </c>
      <c r="M3288" s="135" t="s">
        <v>5608</v>
      </c>
      <c r="N3288" s="155"/>
      <c r="O3288" s="1"/>
      <c r="P3288" s="155"/>
      <c r="Q3288" s="1"/>
      <c r="U3288" s="73"/>
      <c r="V3288" s="1"/>
      <c r="X3288" s="313" t="s">
        <v>0</v>
      </c>
      <c r="Y3288" s="1"/>
    </row>
    <row r="3289" spans="1:25" x14ac:dyDescent="0.35">
      <c r="A3289" s="83"/>
      <c r="C3289" s="351"/>
      <c r="E3289" s="546"/>
      <c r="F3289" s="295"/>
      <c r="G3289" s="472"/>
      <c r="I3289" s="472"/>
      <c r="J3289" s="135"/>
      <c r="K3289" s="472"/>
      <c r="M3289" s="135"/>
      <c r="N3289" s="155"/>
      <c r="O3289" s="1"/>
      <c r="P3289" s="155"/>
      <c r="Q3289" s="1"/>
      <c r="U3289" s="73"/>
      <c r="V3289" s="1"/>
      <c r="X3289" s="313"/>
      <c r="Y3289" s="1"/>
    </row>
    <row r="3290" spans="1:25" x14ac:dyDescent="0.35">
      <c r="D3290" t="s">
        <v>7092</v>
      </c>
      <c r="F3290" s="295" t="s">
        <v>3361</v>
      </c>
      <c r="G3290" s="472" t="s">
        <v>7065</v>
      </c>
      <c r="I3290" s="472" t="s">
        <v>5617</v>
      </c>
      <c r="J3290" s="135"/>
      <c r="K3290" s="472">
        <v>250</v>
      </c>
      <c r="M3290" s="135" t="s">
        <v>5606</v>
      </c>
      <c r="N3290" s="155"/>
      <c r="O3290" s="155"/>
      <c r="P3290" s="155"/>
      <c r="Q3290" s="1"/>
      <c r="R3290" s="155"/>
      <c r="S3290" s="1"/>
      <c r="V3290" s="1"/>
      <c r="X3290" s="313" t="s">
        <v>0</v>
      </c>
      <c r="Y3290" s="1"/>
    </row>
    <row r="3291" spans="1:25" x14ac:dyDescent="0.35">
      <c r="F3291" s="295"/>
      <c r="G3291" s="472"/>
      <c r="I3291" s="472"/>
      <c r="J3291" s="135"/>
      <c r="K3291" s="472"/>
      <c r="M3291" s="135"/>
      <c r="N3291" s="155"/>
      <c r="O3291" s="155"/>
      <c r="P3291" s="155"/>
      <c r="Q3291" s="1"/>
      <c r="R3291" s="155"/>
      <c r="S3291" s="1"/>
      <c r="V3291" s="1"/>
      <c r="X3291" s="313"/>
      <c r="Y3291" s="1"/>
    </row>
    <row r="3292" spans="1:25" x14ac:dyDescent="0.35">
      <c r="D3292" t="s">
        <v>7093</v>
      </c>
      <c r="E3292" s="546"/>
      <c r="F3292" s="295" t="s">
        <v>3361</v>
      </c>
      <c r="G3292" s="708" t="s">
        <v>7066</v>
      </c>
      <c r="I3292" s="472" t="s">
        <v>6944</v>
      </c>
      <c r="J3292" s="135"/>
      <c r="K3292" s="472">
        <v>600</v>
      </c>
      <c r="M3292" s="135" t="s">
        <v>6945</v>
      </c>
      <c r="N3292" s="155"/>
      <c r="O3292" s="1"/>
      <c r="P3292" s="155"/>
      <c r="Q3292" s="1"/>
      <c r="U3292" s="73"/>
      <c r="V3292" s="1"/>
      <c r="X3292" s="313"/>
      <c r="Y3292" s="1"/>
    </row>
    <row r="3293" spans="1:25" x14ac:dyDescent="0.35">
      <c r="E3293" s="546"/>
      <c r="F3293" s="295"/>
      <c r="G3293" s="708"/>
      <c r="I3293" s="472"/>
      <c r="J3293" s="135"/>
      <c r="K3293" s="472"/>
      <c r="M3293" s="135"/>
      <c r="N3293" s="155"/>
      <c r="O3293" s="1"/>
      <c r="P3293" s="155"/>
      <c r="Q3293" s="1"/>
      <c r="U3293" s="73"/>
      <c r="V3293" s="1"/>
      <c r="X3293" s="313"/>
      <c r="Y3293" s="1"/>
    </row>
    <row r="3294" spans="1:25" x14ac:dyDescent="0.35">
      <c r="C3294" s="351"/>
      <c r="D3294" t="s">
        <v>7094</v>
      </c>
      <c r="F3294" s="295" t="s">
        <v>3361</v>
      </c>
      <c r="G3294" s="472" t="s">
        <v>7067</v>
      </c>
      <c r="I3294" s="472" t="s">
        <v>6993</v>
      </c>
      <c r="J3294" s="135"/>
      <c r="K3294" s="472">
        <v>600</v>
      </c>
      <c r="M3294" s="135" t="s">
        <v>7119</v>
      </c>
      <c r="N3294" s="155"/>
      <c r="O3294" s="155"/>
      <c r="P3294" s="155"/>
      <c r="Q3294" s="1"/>
      <c r="R3294" s="155"/>
      <c r="S3294" s="1"/>
      <c r="V3294" s="1" t="s">
        <v>6936</v>
      </c>
      <c r="X3294" s="313" t="s">
        <v>0</v>
      </c>
      <c r="Y3294" s="1"/>
    </row>
    <row r="3295" spans="1:25" x14ac:dyDescent="0.35">
      <c r="C3295" s="351"/>
      <c r="F3295" s="295"/>
      <c r="G3295" s="472"/>
      <c r="I3295" s="472"/>
      <c r="J3295" s="135"/>
      <c r="K3295" s="472"/>
      <c r="M3295" s="135"/>
      <c r="N3295" s="155"/>
      <c r="O3295" s="155"/>
      <c r="P3295" s="155"/>
      <c r="Q3295" s="1"/>
      <c r="R3295" s="155"/>
      <c r="S3295" s="1"/>
      <c r="V3295" s="1"/>
      <c r="X3295" s="313"/>
      <c r="Y3295" s="1"/>
    </row>
    <row r="3296" spans="1:25" x14ac:dyDescent="0.35">
      <c r="D3296" s="401" t="s">
        <v>7264</v>
      </c>
      <c r="E3296" s="546"/>
      <c r="F3296" s="295"/>
      <c r="G3296" s="708"/>
      <c r="I3296" s="472"/>
      <c r="J3296" s="135"/>
      <c r="K3296" s="472"/>
      <c r="M3296" s="135"/>
      <c r="N3296" s="155"/>
      <c r="O3296" s="1"/>
      <c r="P3296" s="155"/>
      <c r="Q3296" s="1"/>
      <c r="U3296" s="73"/>
      <c r="V3296" s="1"/>
      <c r="X3296" s="313"/>
      <c r="Y3296" s="1"/>
    </row>
    <row r="3297" spans="1:25" x14ac:dyDescent="0.35">
      <c r="A3297" s="83"/>
      <c r="C3297" s="351"/>
      <c r="D3297" s="155" t="s">
        <v>7121</v>
      </c>
      <c r="F3297" s="295" t="s">
        <v>3361</v>
      </c>
      <c r="G3297" s="729" t="s">
        <v>7110</v>
      </c>
      <c r="I3297" s="472" t="s">
        <v>7138</v>
      </c>
      <c r="J3297" s="135"/>
      <c r="K3297" s="472" t="s">
        <v>4309</v>
      </c>
      <c r="M3297" s="135" t="s">
        <v>7111</v>
      </c>
      <c r="N3297" s="155"/>
      <c r="O3297" s="155"/>
      <c r="P3297" s="155"/>
      <c r="Q3297" s="1"/>
      <c r="R3297" s="155"/>
      <c r="S3297" s="1"/>
      <c r="V3297" s="1"/>
      <c r="X3297" s="313" t="s">
        <v>0</v>
      </c>
      <c r="Y3297" t="s">
        <v>7152</v>
      </c>
    </row>
    <row r="3298" spans="1:25" x14ac:dyDescent="0.35">
      <c r="C3298" s="351"/>
      <c r="D3298" t="s">
        <v>7083</v>
      </c>
      <c r="F3298" s="295" t="s">
        <v>3361</v>
      </c>
      <c r="G3298" s="730" t="s">
        <v>7112</v>
      </c>
      <c r="I3298" s="472" t="s">
        <v>6943</v>
      </c>
      <c r="J3298" s="135"/>
      <c r="K3298" s="472">
        <v>50</v>
      </c>
      <c r="M3298" s="135" t="s">
        <v>7103</v>
      </c>
      <c r="N3298" s="155"/>
      <c r="O3298" s="155"/>
      <c r="P3298" s="155"/>
      <c r="Q3298" s="1"/>
      <c r="R3298" s="155"/>
      <c r="S3298" s="1"/>
      <c r="V3298" s="1"/>
      <c r="X3298" s="313"/>
      <c r="Y3298" t="s">
        <v>6942</v>
      </c>
    </row>
    <row r="3299" spans="1:25" x14ac:dyDescent="0.35">
      <c r="C3299" s="351"/>
      <c r="F3299" s="295"/>
      <c r="G3299" s="730"/>
      <c r="I3299" s="472"/>
      <c r="J3299" s="135"/>
      <c r="K3299" s="472"/>
      <c r="M3299" s="135"/>
      <c r="N3299" s="155"/>
      <c r="O3299" s="155"/>
      <c r="P3299" s="155"/>
      <c r="Q3299" s="1"/>
      <c r="R3299" s="155"/>
      <c r="S3299" s="1"/>
      <c r="V3299" s="1"/>
      <c r="X3299" s="313"/>
    </row>
    <row r="3300" spans="1:25" x14ac:dyDescent="0.35">
      <c r="D3300" t="s">
        <v>7125</v>
      </c>
      <c r="F3300" s="295" t="s">
        <v>7124</v>
      </c>
      <c r="G3300" s="730" t="s">
        <v>7137</v>
      </c>
      <c r="I3300" s="472" t="s">
        <v>7127</v>
      </c>
      <c r="J3300" s="135"/>
      <c r="K3300" s="472">
        <v>10</v>
      </c>
      <c r="M3300" s="135" t="s">
        <v>7126</v>
      </c>
      <c r="N3300" s="155"/>
      <c r="O3300" s="155"/>
      <c r="P3300" s="155"/>
      <c r="Q3300" s="1"/>
      <c r="R3300" s="155"/>
      <c r="S3300" s="1"/>
      <c r="V3300" s="1"/>
      <c r="X3300" s="313"/>
      <c r="Y3300" t="s">
        <v>7139</v>
      </c>
    </row>
    <row r="3301" spans="1:25" x14ac:dyDescent="0.35">
      <c r="C3301" s="351"/>
      <c r="D3301" t="s">
        <v>7128</v>
      </c>
      <c r="F3301" s="295" t="s">
        <v>3919</v>
      </c>
      <c r="G3301" s="730" t="s">
        <v>3919</v>
      </c>
      <c r="I3301" s="472" t="s">
        <v>3919</v>
      </c>
      <c r="J3301" s="135"/>
      <c r="K3301" s="472" t="s">
        <v>3919</v>
      </c>
      <c r="M3301" s="472" t="s">
        <v>3919</v>
      </c>
      <c r="N3301" s="155"/>
      <c r="O3301" s="155"/>
      <c r="P3301" s="155"/>
      <c r="Q3301" s="1"/>
      <c r="R3301" s="155"/>
      <c r="S3301" s="1"/>
      <c r="V3301" s="1"/>
      <c r="X3301" s="313"/>
    </row>
    <row r="3302" spans="1:25" x14ac:dyDescent="0.35">
      <c r="C3302" s="351"/>
      <c r="F3302" s="295"/>
      <c r="G3302" s="730"/>
      <c r="I3302" s="472"/>
      <c r="J3302" s="135"/>
      <c r="K3302" s="472"/>
      <c r="M3302" s="472"/>
      <c r="N3302" s="155"/>
      <c r="O3302" s="155"/>
      <c r="P3302" s="155"/>
      <c r="Q3302" s="1"/>
      <c r="R3302" s="155"/>
      <c r="S3302" s="1"/>
      <c r="V3302" s="1"/>
      <c r="X3302" s="313"/>
    </row>
    <row r="3303" spans="1:25" x14ac:dyDescent="0.35">
      <c r="C3303" s="351"/>
      <c r="D3303" s="401" t="s">
        <v>7265</v>
      </c>
      <c r="F3303" s="295"/>
      <c r="G3303" s="730"/>
      <c r="I3303" s="472"/>
      <c r="J3303" s="135"/>
      <c r="K3303" s="472"/>
      <c r="M3303" s="472"/>
      <c r="N3303" s="155"/>
      <c r="O3303" s="155"/>
      <c r="P3303" s="155"/>
      <c r="Q3303" s="1"/>
      <c r="R3303" s="155"/>
      <c r="S3303" s="1"/>
      <c r="V3303" s="1"/>
      <c r="X3303" s="313"/>
    </row>
    <row r="3304" spans="1:25" x14ac:dyDescent="0.35">
      <c r="A3304" s="536" t="s">
        <v>5562</v>
      </c>
      <c r="C3304" s="351" t="s">
        <v>3063</v>
      </c>
      <c r="D3304" s="155" t="s">
        <v>7240</v>
      </c>
      <c r="E3304" s="546"/>
      <c r="F3304" s="295" t="s">
        <v>3361</v>
      </c>
      <c r="G3304" s="729" t="s">
        <v>7118</v>
      </c>
      <c r="I3304" s="472" t="s">
        <v>7056</v>
      </c>
      <c r="J3304" s="135"/>
      <c r="K3304" s="472" t="s">
        <v>4309</v>
      </c>
      <c r="L3304" s="295" t="s">
        <v>7187</v>
      </c>
      <c r="M3304" s="135" t="s">
        <v>7192</v>
      </c>
      <c r="N3304" s="155"/>
      <c r="O3304" s="1"/>
      <c r="P3304" s="155"/>
      <c r="Q3304" s="1"/>
      <c r="U3304" s="73"/>
      <c r="V3304" s="1" t="s">
        <v>7055</v>
      </c>
      <c r="X3304" s="313" t="s">
        <v>0</v>
      </c>
      <c r="Y3304" s="1"/>
    </row>
    <row r="3305" spans="1:25" x14ac:dyDescent="0.35">
      <c r="D3305" s="155" t="s">
        <v>7088</v>
      </c>
      <c r="F3305" s="295" t="s">
        <v>7058</v>
      </c>
      <c r="G3305" s="729" t="s">
        <v>7109</v>
      </c>
      <c r="I3305" s="472" t="s">
        <v>7059</v>
      </c>
      <c r="K3305" s="472" t="s">
        <v>4309</v>
      </c>
      <c r="M3305" s="135" t="s">
        <v>7105</v>
      </c>
      <c r="V3305" s="1" t="s">
        <v>7057</v>
      </c>
      <c r="X3305" s="313" t="s">
        <v>0</v>
      </c>
    </row>
    <row r="3306" spans="1:25" x14ac:dyDescent="0.35">
      <c r="D3306" s="155" t="s">
        <v>7089</v>
      </c>
      <c r="F3306" s="295" t="s">
        <v>5595</v>
      </c>
      <c r="G3306" s="729" t="s">
        <v>7104</v>
      </c>
      <c r="I3306" s="472" t="s">
        <v>7071</v>
      </c>
      <c r="K3306" s="472">
        <v>300</v>
      </c>
      <c r="M3306" s="135" t="s">
        <v>7101</v>
      </c>
      <c r="V3306" s="1" t="s">
        <v>7070</v>
      </c>
      <c r="X3306" s="313" t="s">
        <v>0</v>
      </c>
    </row>
    <row r="3307" spans="1:25" x14ac:dyDescent="0.35">
      <c r="D3307" s="155" t="s">
        <v>7090</v>
      </c>
      <c r="F3307" s="295" t="s">
        <v>3361</v>
      </c>
      <c r="G3307" s="729" t="s">
        <v>7114</v>
      </c>
      <c r="I3307" s="472" t="s">
        <v>7072</v>
      </c>
      <c r="K3307" s="472" t="s">
        <v>4309</v>
      </c>
      <c r="M3307" s="135" t="s">
        <v>7102</v>
      </c>
      <c r="V3307" s="1"/>
      <c r="X3307" s="313"/>
    </row>
    <row r="3308" spans="1:25" x14ac:dyDescent="0.35">
      <c r="F3308" s="295"/>
      <c r="G3308" s="472"/>
      <c r="I3308" s="472"/>
      <c r="J3308" s="135"/>
      <c r="K3308" s="472"/>
      <c r="L3308">
        <f>20*LOG10(1.2/0.00004)</f>
        <v>89.542425094393252</v>
      </c>
      <c r="M3308" s="135"/>
      <c r="N3308" s="155"/>
      <c r="O3308" s="155"/>
      <c r="P3308" s="155"/>
      <c r="Q3308" s="1"/>
      <c r="R3308" s="155"/>
      <c r="S3308" s="1"/>
      <c r="V3308" s="1"/>
      <c r="X3308" s="313"/>
    </row>
    <row r="3309" spans="1:25" x14ac:dyDescent="0.35">
      <c r="C3309" s="351"/>
      <c r="D3309" t="s">
        <v>7141</v>
      </c>
      <c r="F3309" s="295" t="s">
        <v>7142</v>
      </c>
      <c r="G3309" s="729" t="s">
        <v>7143</v>
      </c>
      <c r="I3309" s="472" t="s">
        <v>7145</v>
      </c>
      <c r="J3309" s="135"/>
      <c r="K3309" s="472"/>
      <c r="M3309" s="135" t="s">
        <v>7144</v>
      </c>
      <c r="N3309" s="155"/>
      <c r="O3309" s="155"/>
      <c r="P3309" s="155"/>
      <c r="Q3309" s="1"/>
      <c r="R3309" s="155"/>
      <c r="S3309" s="1"/>
      <c r="V3309" s="1"/>
      <c r="X3309" s="313"/>
    </row>
    <row r="3310" spans="1:25" x14ac:dyDescent="0.35">
      <c r="D3310" t="s">
        <v>7146</v>
      </c>
      <c r="F3310" s="295" t="s">
        <v>7142</v>
      </c>
      <c r="G3310" s="729" t="s">
        <v>7147</v>
      </c>
      <c r="I3310" s="472" t="s">
        <v>7148</v>
      </c>
      <c r="J3310" s="135"/>
      <c r="K3310" s="472"/>
      <c r="L3310" s="295" t="s">
        <v>7188</v>
      </c>
      <c r="M3310" s="135" t="s">
        <v>7168</v>
      </c>
      <c r="N3310" s="155"/>
      <c r="O3310" s="155"/>
      <c r="P3310" s="155"/>
      <c r="Q3310" s="1"/>
      <c r="R3310" s="155"/>
      <c r="S3310" s="1"/>
      <c r="V3310" s="1"/>
      <c r="W3310">
        <f>0.00000000005*220000/0.000001</f>
        <v>11</v>
      </c>
      <c r="X3310" s="313"/>
      <c r="Y3310" t="s">
        <v>7167</v>
      </c>
    </row>
    <row r="3311" spans="1:25" x14ac:dyDescent="0.35">
      <c r="F3311" s="295"/>
      <c r="G3311" s="729"/>
      <c r="I3311" s="472"/>
      <c r="J3311" s="135"/>
      <c r="K3311" s="472"/>
      <c r="L3311" s="295"/>
      <c r="M3311" s="135"/>
      <c r="N3311" s="155"/>
      <c r="O3311" s="155"/>
      <c r="P3311" s="155"/>
      <c r="Q3311" s="1"/>
      <c r="R3311" s="155"/>
      <c r="S3311" s="1"/>
      <c r="V3311" s="1"/>
      <c r="X3311" s="313"/>
    </row>
    <row r="3312" spans="1:25" x14ac:dyDescent="0.35">
      <c r="D3312" s="401" t="s">
        <v>7107</v>
      </c>
      <c r="F3312" s="295"/>
      <c r="G3312" s="472"/>
      <c r="I3312" s="472"/>
      <c r="J3312" s="135"/>
      <c r="K3312" s="472"/>
      <c r="M3312" s="135"/>
      <c r="N3312" s="155"/>
      <c r="O3312" s="155"/>
      <c r="P3312" s="155"/>
      <c r="Q3312" s="1"/>
      <c r="R3312" s="155"/>
      <c r="S3312" s="1"/>
      <c r="V3312" s="1"/>
      <c r="X3312" s="313"/>
      <c r="Y3312" s="1"/>
    </row>
    <row r="3313" spans="1:25" x14ac:dyDescent="0.35">
      <c r="D3313" t="s">
        <v>7095</v>
      </c>
      <c r="F3313" s="295" t="s">
        <v>3361</v>
      </c>
      <c r="G3313" s="472"/>
      <c r="I3313" s="472"/>
      <c r="J3313" s="135"/>
      <c r="K3313" s="472" t="s">
        <v>4309</v>
      </c>
      <c r="M3313" s="546" t="s">
        <v>5604</v>
      </c>
      <c r="N3313" s="155"/>
      <c r="O3313" s="155"/>
      <c r="P3313" s="155"/>
      <c r="R3313" s="155"/>
      <c r="S3313" s="1"/>
      <c r="V3313" s="1" t="s">
        <v>5592</v>
      </c>
      <c r="X3313" s="313" t="s">
        <v>0</v>
      </c>
      <c r="Y3313" s="1"/>
    </row>
    <row r="3314" spans="1:25" x14ac:dyDescent="0.35">
      <c r="F3314" s="295" t="s">
        <v>3362</v>
      </c>
      <c r="G3314" s="472"/>
      <c r="I3314" s="472"/>
      <c r="J3314" s="135"/>
      <c r="K3314" s="472" t="s">
        <v>4309</v>
      </c>
      <c r="M3314" s="546" t="s">
        <v>5601</v>
      </c>
      <c r="N3314" s="155"/>
      <c r="O3314" s="155"/>
      <c r="P3314" s="155"/>
      <c r="R3314" s="155"/>
      <c r="S3314" s="1"/>
      <c r="V3314" s="1" t="s">
        <v>5593</v>
      </c>
      <c r="X3314" s="313" t="s">
        <v>0</v>
      </c>
      <c r="Y3314" s="1"/>
    </row>
    <row r="3315" spans="1:25" x14ac:dyDescent="0.35">
      <c r="F3315" s="295" t="s">
        <v>5595</v>
      </c>
      <c r="G3315" s="472"/>
      <c r="I3315" s="472"/>
      <c r="J3315" s="135"/>
      <c r="K3315" s="472">
        <v>85</v>
      </c>
      <c r="M3315" s="546" t="s">
        <v>5602</v>
      </c>
      <c r="N3315" s="155"/>
      <c r="O3315" s="155"/>
      <c r="P3315" s="155"/>
      <c r="R3315" s="155"/>
      <c r="S3315" s="1"/>
      <c r="V3315" s="1" t="s">
        <v>5594</v>
      </c>
      <c r="X3315" s="313" t="s">
        <v>0</v>
      </c>
      <c r="Y3315" s="1"/>
    </row>
    <row r="3316" spans="1:25" x14ac:dyDescent="0.35">
      <c r="F3316" s="295" t="s">
        <v>5599</v>
      </c>
      <c r="G3316" s="472"/>
      <c r="I3316" s="472"/>
      <c r="J3316" s="135"/>
      <c r="K3316" s="472" t="s">
        <v>4309</v>
      </c>
      <c r="M3316" s="546" t="s">
        <v>5603</v>
      </c>
      <c r="N3316" s="155"/>
      <c r="O3316" s="155"/>
      <c r="P3316" s="155"/>
      <c r="R3316" s="155"/>
      <c r="S3316" s="1"/>
      <c r="V3316" s="1" t="s">
        <v>5598</v>
      </c>
      <c r="X3316" s="313" t="s">
        <v>0</v>
      </c>
      <c r="Y3316" s="1"/>
    </row>
    <row r="3317" spans="1:25" x14ac:dyDescent="0.35">
      <c r="F3317" s="295"/>
      <c r="G3317" s="472"/>
      <c r="I3317" s="472"/>
      <c r="J3317" s="135"/>
      <c r="M3317" s="546"/>
      <c r="N3317" s="155"/>
      <c r="O3317" s="155"/>
      <c r="P3317" s="155"/>
      <c r="Q3317" s="1"/>
      <c r="R3317" s="155"/>
      <c r="S3317" s="1"/>
      <c r="V3317" s="1"/>
      <c r="X3317" s="313" t="s">
        <v>0</v>
      </c>
      <c r="Y3317" s="1"/>
    </row>
    <row r="3318" spans="1:25" x14ac:dyDescent="0.35">
      <c r="D3318" t="s">
        <v>7096</v>
      </c>
      <c r="F3318" s="295" t="s">
        <v>3361</v>
      </c>
      <c r="G3318" s="472" t="s">
        <v>7068</v>
      </c>
      <c r="I3318" s="472" t="s">
        <v>6938</v>
      </c>
      <c r="J3318" s="135"/>
      <c r="K3318" s="472" t="s">
        <v>4309</v>
      </c>
      <c r="M3318" s="135" t="s">
        <v>6939</v>
      </c>
      <c r="N3318" s="155"/>
      <c r="O3318" s="155"/>
      <c r="P3318" s="155"/>
      <c r="Q3318" s="1"/>
      <c r="R3318" s="155"/>
      <c r="S3318" s="1"/>
      <c r="V3318" s="1"/>
      <c r="X3318" s="313"/>
      <c r="Y3318" s="1"/>
    </row>
    <row r="3319" spans="1:25" x14ac:dyDescent="0.35">
      <c r="F3319" s="295"/>
      <c r="G3319" s="472"/>
      <c r="I3319" s="472"/>
      <c r="J3319" s="135"/>
      <c r="K3319" s="472"/>
      <c r="M3319" s="135"/>
      <c r="N3319" s="155"/>
      <c r="O3319" s="155"/>
      <c r="P3319" s="155"/>
      <c r="Q3319" s="1"/>
      <c r="R3319" s="155"/>
      <c r="S3319" s="1"/>
      <c r="V3319" s="1"/>
      <c r="X3319" s="313"/>
    </row>
    <row r="3320" spans="1:25" x14ac:dyDescent="0.35">
      <c r="D3320" t="s">
        <v>7097</v>
      </c>
      <c r="E3320" s="546"/>
      <c r="F3320" s="295" t="s">
        <v>3361</v>
      </c>
      <c r="G3320" s="662" t="s">
        <v>7069</v>
      </c>
      <c r="I3320" s="472" t="s">
        <v>6360</v>
      </c>
      <c r="J3320" s="135"/>
      <c r="K3320" s="472" t="s">
        <v>4309</v>
      </c>
      <c r="M3320" s="135" t="s">
        <v>5600</v>
      </c>
      <c r="N3320" s="155"/>
      <c r="O3320" s="1"/>
      <c r="P3320" s="155"/>
      <c r="Q3320" s="1"/>
      <c r="U3320" s="73"/>
      <c r="V3320" s="1"/>
      <c r="X3320" s="313"/>
      <c r="Y3320" s="1"/>
    </row>
    <row r="3321" spans="1:25" x14ac:dyDescent="0.35">
      <c r="D3321" t="s">
        <v>7098</v>
      </c>
      <c r="E3321" s="546"/>
      <c r="F3321" s="295" t="s">
        <v>3361</v>
      </c>
      <c r="G3321" s="662" t="s">
        <v>7069</v>
      </c>
      <c r="I3321" s="472" t="s">
        <v>6369</v>
      </c>
      <c r="J3321" s="135"/>
      <c r="K3321" s="472" t="s">
        <v>4309</v>
      </c>
      <c r="M3321" s="135" t="s">
        <v>6368</v>
      </c>
      <c r="N3321" s="155"/>
      <c r="O3321" s="1"/>
      <c r="P3321" s="155"/>
      <c r="Q3321" s="1"/>
      <c r="U3321" s="73"/>
      <c r="V3321" s="1"/>
      <c r="X3321" s="313"/>
      <c r="Y3321" s="1"/>
    </row>
    <row r="3322" spans="1:25" x14ac:dyDescent="0.35">
      <c r="E3322" s="546"/>
      <c r="F3322" s="295"/>
      <c r="G3322" s="472"/>
      <c r="I3322" s="155"/>
      <c r="J3322" s="155"/>
      <c r="K3322" s="155"/>
      <c r="L3322" s="1"/>
      <c r="M3322" s="155"/>
      <c r="N3322" s="1"/>
      <c r="R3322" s="73"/>
      <c r="S3322" s="1"/>
      <c r="U3322" s="313"/>
      <c r="V3322" s="1"/>
      <c r="X3322" s="313"/>
      <c r="Y3322" s="1"/>
    </row>
    <row r="3323" spans="1:25" x14ac:dyDescent="0.35">
      <c r="D3323" s="186" t="s">
        <v>7099</v>
      </c>
      <c r="E3323" s="546"/>
      <c r="F3323" s="295" t="s">
        <v>3361</v>
      </c>
      <c r="G3323" s="472" t="s">
        <v>7060</v>
      </c>
      <c r="I3323" s="472" t="s">
        <v>5616</v>
      </c>
      <c r="J3323" s="135"/>
      <c r="K3323" s="472" t="s">
        <v>4309</v>
      </c>
      <c r="M3323" s="135" t="s">
        <v>5610</v>
      </c>
      <c r="N3323" s="155"/>
      <c r="O3323" s="1"/>
      <c r="P3323" s="155"/>
      <c r="Q3323" s="1"/>
      <c r="U3323" s="73"/>
      <c r="V3323" s="1" t="s">
        <v>5609</v>
      </c>
      <c r="X3323" s="313" t="s">
        <v>0</v>
      </c>
      <c r="Y3323" s="1"/>
    </row>
    <row r="3324" spans="1:25" x14ac:dyDescent="0.35">
      <c r="D3324" s="186"/>
      <c r="E3324" s="546"/>
      <c r="F3324" s="295"/>
      <c r="G3324" s="472"/>
      <c r="I3324" s="472"/>
      <c r="J3324" s="135"/>
      <c r="K3324" s="472"/>
      <c r="M3324" s="135"/>
      <c r="N3324" s="155"/>
      <c r="O3324" s="1"/>
      <c r="P3324" s="155"/>
      <c r="Q3324" s="1"/>
      <c r="U3324" s="73"/>
      <c r="V3324" s="1"/>
      <c r="X3324" s="313"/>
      <c r="Y3324" s="1"/>
    </row>
    <row r="3325" spans="1:25" x14ac:dyDescent="0.35">
      <c r="D3325" t="s">
        <v>7100</v>
      </c>
      <c r="E3325" s="546"/>
      <c r="F3325" s="295" t="s">
        <v>3361</v>
      </c>
      <c r="G3325" s="708" t="s">
        <v>7075</v>
      </c>
      <c r="I3325" s="472" t="s">
        <v>7076</v>
      </c>
      <c r="J3325" s="135"/>
      <c r="K3325" s="472" t="s">
        <v>4309</v>
      </c>
      <c r="M3325" s="135" t="s">
        <v>7077</v>
      </c>
      <c r="N3325" s="155"/>
      <c r="O3325" s="1"/>
      <c r="P3325" s="155"/>
      <c r="Q3325" s="1"/>
      <c r="U3325" s="73"/>
      <c r="V3325" s="1"/>
      <c r="X3325" s="313"/>
      <c r="Y3325" s="1"/>
    </row>
    <row r="3326" spans="1:25" x14ac:dyDescent="0.35">
      <c r="E3326" s="546"/>
      <c r="F3326" s="295"/>
      <c r="G3326" s="708"/>
      <c r="I3326" s="472"/>
      <c r="J3326" s="135"/>
      <c r="K3326" s="472"/>
      <c r="M3326" s="135"/>
      <c r="N3326" s="155"/>
      <c r="O3326" s="1"/>
      <c r="P3326" s="155"/>
      <c r="Q3326" s="1"/>
      <c r="U3326" s="73"/>
      <c r="V3326" s="1"/>
      <c r="X3326" s="313"/>
      <c r="Y3326" s="1"/>
    </row>
    <row r="3327" spans="1:25" x14ac:dyDescent="0.35">
      <c r="A3327" s="83"/>
      <c r="C3327" s="83"/>
      <c r="D3327" s="155" t="s">
        <v>7113</v>
      </c>
      <c r="F3327" s="295" t="s">
        <v>3361</v>
      </c>
      <c r="G3327" s="731" t="s">
        <v>7115</v>
      </c>
      <c r="I3327" s="472" t="s">
        <v>7080</v>
      </c>
      <c r="J3327" s="135"/>
      <c r="K3327" s="472" t="s">
        <v>4309</v>
      </c>
      <c r="M3327" s="135" t="s">
        <v>7116</v>
      </c>
      <c r="N3327" s="155"/>
      <c r="O3327" s="155"/>
      <c r="P3327" s="155"/>
      <c r="Q3327" s="1"/>
      <c r="R3327" s="155"/>
      <c r="S3327" s="1"/>
      <c r="V3327" s="1"/>
      <c r="X3327" s="313"/>
      <c r="Y3327" s="1"/>
    </row>
    <row r="3328" spans="1:25" x14ac:dyDescent="0.35">
      <c r="A3328" s="83"/>
      <c r="C3328" s="83"/>
      <c r="D3328" s="155"/>
      <c r="F3328" s="295"/>
      <c r="G3328" s="729"/>
      <c r="I3328" s="472"/>
      <c r="J3328" s="135"/>
      <c r="K3328" s="472"/>
      <c r="M3328" s="135"/>
      <c r="N3328" s="155"/>
      <c r="O3328" s="155"/>
      <c r="P3328" s="155"/>
      <c r="Q3328" s="1"/>
      <c r="R3328" s="155"/>
      <c r="S3328" s="1"/>
      <c r="V3328" s="1"/>
      <c r="X3328" s="313"/>
      <c r="Y3328" s="1"/>
    </row>
    <row r="3329" spans="1:25" x14ac:dyDescent="0.35">
      <c r="D3329" s="401" t="s">
        <v>7108</v>
      </c>
      <c r="E3329" s="546"/>
      <c r="F3329" s="295"/>
      <c r="G3329" s="472"/>
      <c r="I3329" s="472"/>
      <c r="J3329" s="135"/>
      <c r="M3329" s="135"/>
      <c r="N3329" s="155"/>
      <c r="O3329" s="1"/>
      <c r="P3329" s="155"/>
      <c r="Q3329" s="1"/>
      <c r="U3329" s="73"/>
      <c r="V3329" s="1"/>
      <c r="X3329" s="313"/>
      <c r="Y3329" s="1"/>
    </row>
    <row r="3330" spans="1:25" x14ac:dyDescent="0.35">
      <c r="D3330" t="s">
        <v>7078</v>
      </c>
      <c r="G3330" s="135"/>
      <c r="H3330" s="155"/>
      <c r="I3330" s="155"/>
      <c r="J3330" s="155"/>
      <c r="K3330" s="1"/>
      <c r="L3330" s="155"/>
      <c r="M3330" s="1"/>
      <c r="Q3330" s="73"/>
      <c r="R3330" s="1"/>
      <c r="T3330" s="313"/>
      <c r="U3330" s="1"/>
      <c r="W3330" s="313"/>
      <c r="X3330" s="1"/>
    </row>
    <row r="3331" spans="1:25" x14ac:dyDescent="0.35">
      <c r="D3331" t="s">
        <v>6950</v>
      </c>
      <c r="G3331" s="155"/>
      <c r="H3331" s="155"/>
      <c r="I3331" s="155"/>
      <c r="J3331" s="155"/>
      <c r="K3331" s="1"/>
      <c r="L3331" s="155"/>
      <c r="M3331" s="1"/>
      <c r="Q3331" s="73"/>
      <c r="R3331" s="1"/>
      <c r="T3331" s="313"/>
      <c r="U3331" s="1"/>
      <c r="W3331" s="313"/>
      <c r="X3331" s="1"/>
    </row>
    <row r="3332" spans="1:25" x14ac:dyDescent="0.35">
      <c r="D3332" t="s">
        <v>7079</v>
      </c>
      <c r="G3332" s="155"/>
      <c r="H3332" s="155"/>
      <c r="I3332" s="155"/>
      <c r="J3332" s="155"/>
      <c r="K3332" s="1"/>
      <c r="L3332" s="155"/>
      <c r="M3332" s="1"/>
      <c r="Q3332" s="73"/>
      <c r="R3332" s="1"/>
      <c r="T3332" s="313"/>
      <c r="U3332" s="1"/>
      <c r="W3332" s="313"/>
      <c r="X3332" s="1"/>
    </row>
    <row r="3333" spans="1:25" x14ac:dyDescent="0.35">
      <c r="D3333" t="s">
        <v>6951</v>
      </c>
      <c r="G3333" s="155"/>
      <c r="H3333" s="155"/>
      <c r="I3333" s="155"/>
      <c r="J3333" s="155"/>
      <c r="K3333" s="1"/>
      <c r="L3333" s="155"/>
      <c r="M3333" s="1"/>
      <c r="Q3333" s="73"/>
      <c r="R3333" s="1"/>
      <c r="T3333" s="313"/>
      <c r="U3333" s="1"/>
      <c r="W3333" s="313"/>
      <c r="X3333" s="1"/>
    </row>
    <row r="3334" spans="1:25" x14ac:dyDescent="0.35">
      <c r="D3334" t="s">
        <v>7140</v>
      </c>
      <c r="G3334" s="155"/>
      <c r="H3334" s="155"/>
      <c r="I3334" s="155"/>
      <c r="J3334" s="155"/>
      <c r="K3334" s="1"/>
      <c r="L3334" s="155"/>
      <c r="M3334" s="1"/>
      <c r="Q3334" s="73"/>
      <c r="R3334" s="1"/>
      <c r="T3334" s="313"/>
      <c r="U3334" s="1"/>
      <c r="W3334" s="313"/>
      <c r="X3334" s="1"/>
    </row>
    <row r="3335" spans="1:25" x14ac:dyDescent="0.35">
      <c r="A3335" s="87"/>
      <c r="K3335" s="1"/>
    </row>
    <row r="3336" spans="1:25" s="5" customFormat="1" x14ac:dyDescent="0.35">
      <c r="A3336" s="86" t="s">
        <v>9169</v>
      </c>
    </row>
    <row r="3337" spans="1:25" x14ac:dyDescent="0.35">
      <c r="D3337" s="335"/>
      <c r="E3337" s="335"/>
      <c r="F3337" s="335"/>
      <c r="R3337" s="162"/>
    </row>
    <row r="3338" spans="1:25" x14ac:dyDescent="0.35">
      <c r="B3338" s="83" t="s">
        <v>7597</v>
      </c>
      <c r="F3338" s="335"/>
      <c r="R3338" s="162"/>
    </row>
    <row r="3339" spans="1:25" x14ac:dyDescent="0.35">
      <c r="D3339" s="335"/>
      <c r="E3339" s="335"/>
      <c r="F3339" s="335"/>
      <c r="R3339" s="162"/>
    </row>
    <row r="3340" spans="1:25" x14ac:dyDescent="0.35">
      <c r="D3340" s="335" t="s">
        <v>3951</v>
      </c>
      <c r="E3340" s="335"/>
      <c r="F3340" t="s">
        <v>7791</v>
      </c>
      <c r="N3340" s="403"/>
      <c r="O3340" s="404"/>
      <c r="Q3340" s="8"/>
    </row>
    <row r="3341" spans="1:25" s="7" customFormat="1" x14ac:dyDescent="0.35">
      <c r="A3341" s="831"/>
      <c r="B3341" s="832"/>
      <c r="D3341" s="7" t="s">
        <v>3295</v>
      </c>
      <c r="F3341" s="155" t="s">
        <v>7032</v>
      </c>
      <c r="N3341" s="833"/>
      <c r="O3341" s="834"/>
      <c r="Q3341" s="380"/>
    </row>
    <row r="3342" spans="1:25" x14ac:dyDescent="0.35">
      <c r="D3342" s="847">
        <v>2</v>
      </c>
      <c r="F3342" s="7" t="s">
        <v>7613</v>
      </c>
      <c r="G3342" s="7"/>
      <c r="H3342" s="7"/>
      <c r="I3342" s="7"/>
      <c r="J3342" s="7"/>
      <c r="K3342" s="7"/>
      <c r="L3342" s="7"/>
      <c r="M3342" s="835"/>
      <c r="N3342" s="833"/>
      <c r="O3342" s="834"/>
      <c r="P3342" s="7"/>
      <c r="Q3342" s="380"/>
      <c r="R3342" s="7"/>
    </row>
    <row r="3343" spans="1:25" x14ac:dyDescent="0.35">
      <c r="D3343" s="846">
        <v>-30</v>
      </c>
      <c r="F3343" s="7" t="s">
        <v>7639</v>
      </c>
      <c r="G3343" s="7"/>
      <c r="H3343" s="7"/>
      <c r="I3343" s="7"/>
      <c r="J3343" s="7"/>
      <c r="K3343" s="7"/>
      <c r="L3343" s="7"/>
      <c r="M3343" s="835"/>
      <c r="N3343" s="833"/>
      <c r="O3343" s="834"/>
      <c r="P3343" s="7"/>
      <c r="Q3343" s="380"/>
      <c r="R3343" s="7"/>
    </row>
    <row r="3344" spans="1:25" x14ac:dyDescent="0.35">
      <c r="D3344" s="846">
        <v>30</v>
      </c>
      <c r="F3344" s="7" t="s">
        <v>7640</v>
      </c>
      <c r="G3344" s="7"/>
      <c r="H3344" s="7"/>
      <c r="I3344" s="7"/>
      <c r="J3344" s="7"/>
      <c r="K3344" s="7"/>
      <c r="L3344" s="7"/>
      <c r="M3344" s="835"/>
      <c r="N3344" s="833"/>
      <c r="O3344" s="834"/>
      <c r="P3344" s="7"/>
      <c r="Q3344" s="380"/>
      <c r="R3344" s="7"/>
    </row>
    <row r="3345" spans="2:27" x14ac:dyDescent="0.35">
      <c r="D3345" s="636">
        <f>MAX(N3360:N3374)</f>
        <v>3071.0105340478458</v>
      </c>
      <c r="F3345" s="7" t="s">
        <v>7641</v>
      </c>
      <c r="G3345" s="7"/>
      <c r="H3345" s="7"/>
      <c r="I3345" s="7"/>
      <c r="J3345" s="7"/>
      <c r="K3345" s="7"/>
      <c r="L3345" s="7"/>
      <c r="M3345" s="835"/>
      <c r="N3345" s="833"/>
      <c r="O3345" s="834"/>
      <c r="P3345" s="7"/>
      <c r="Q3345" s="380"/>
      <c r="R3345" s="7"/>
    </row>
    <row r="3346" spans="2:27" x14ac:dyDescent="0.35">
      <c r="D3346" s="636">
        <f>MIN(N3360:N3374)</f>
        <v>50.750371446219475</v>
      </c>
      <c r="F3346" s="7" t="s">
        <v>7642</v>
      </c>
      <c r="G3346" s="7"/>
      <c r="H3346" s="7"/>
      <c r="I3346" s="7"/>
      <c r="J3346" s="7"/>
      <c r="K3346" s="7"/>
      <c r="L3346" s="7"/>
      <c r="M3346" s="835"/>
      <c r="N3346" s="833"/>
      <c r="O3346" s="834"/>
      <c r="P3346" s="7"/>
      <c r="Q3346" s="380"/>
      <c r="R3346" s="7"/>
    </row>
    <row r="3347" spans="2:27" x14ac:dyDescent="0.35">
      <c r="D3347" s="636">
        <f>ABS(G3360*M3360)</f>
        <v>46.747967479674799</v>
      </c>
      <c r="F3347" s="19" t="s">
        <v>7643</v>
      </c>
      <c r="G3347" s="7"/>
      <c r="H3347" s="7"/>
      <c r="I3347" s="7"/>
      <c r="J3347" s="7"/>
      <c r="K3347" s="7"/>
      <c r="L3347" s="7"/>
      <c r="M3347" s="835"/>
      <c r="N3347" s="833"/>
      <c r="O3347" s="834"/>
      <c r="P3347" s="7"/>
      <c r="Q3347" s="380"/>
      <c r="R3347" s="7"/>
    </row>
    <row r="3348" spans="2:27" x14ac:dyDescent="0.35">
      <c r="D3348" s="7"/>
      <c r="E3348" s="7"/>
      <c r="F3348" s="7"/>
      <c r="G3348" s="7"/>
      <c r="I3348" s="4"/>
      <c r="J3348" s="4"/>
      <c r="K3348" s="4"/>
      <c r="L3348" s="4"/>
      <c r="M3348" s="171"/>
      <c r="N3348" s="829"/>
      <c r="O3348" s="830"/>
      <c r="P3348" s="4"/>
      <c r="Q3348" s="379"/>
      <c r="R3348" s="379"/>
    </row>
    <row r="3349" spans="2:27" x14ac:dyDescent="0.35">
      <c r="D3349" s="836"/>
      <c r="E3349" s="844" t="s">
        <v>7635</v>
      </c>
      <c r="F3349" s="844"/>
      <c r="G3349" s="814"/>
      <c r="I3349" s="836" t="s">
        <v>7634</v>
      </c>
      <c r="J3349" s="837"/>
      <c r="K3349" s="838"/>
      <c r="L3349" s="839"/>
      <c r="N3349" s="836"/>
      <c r="O3349" s="840" t="s">
        <v>7603</v>
      </c>
      <c r="P3349" s="840"/>
      <c r="Q3349" s="840"/>
      <c r="R3349" s="814"/>
      <c r="V3349" s="13"/>
      <c r="W3349" s="13"/>
      <c r="X3349" s="13"/>
      <c r="Y3349" s="13"/>
      <c r="Z3349" s="13"/>
    </row>
    <row r="3350" spans="2:27" x14ac:dyDescent="0.35">
      <c r="E3350" s="828"/>
      <c r="F3350" s="335"/>
      <c r="I3350" s="827"/>
      <c r="J3350" s="295"/>
      <c r="N3350" s="403"/>
      <c r="O3350" s="404"/>
      <c r="Q3350" s="8"/>
      <c r="R3350" s="8"/>
      <c r="V3350" s="13"/>
      <c r="W3350" s="13"/>
      <c r="X3350" s="13"/>
      <c r="Y3350" s="13"/>
      <c r="Z3350" s="13"/>
    </row>
    <row r="3351" spans="2:27" ht="24.5" x14ac:dyDescent="0.35">
      <c r="D3351" s="827"/>
      <c r="E3351" s="123" t="s">
        <v>7602</v>
      </c>
      <c r="F3351" s="123" t="s">
        <v>7601</v>
      </c>
      <c r="G3351" s="123" t="s">
        <v>7601</v>
      </c>
      <c r="I3351" s="13" t="s">
        <v>7599</v>
      </c>
      <c r="J3351" s="639">
        <v>10000</v>
      </c>
      <c r="N3351" s="205"/>
      <c r="O3351" s="205" t="s">
        <v>7604</v>
      </c>
      <c r="P3351" s="205" t="s">
        <v>7605</v>
      </c>
      <c r="Q3351" s="205" t="s">
        <v>4493</v>
      </c>
      <c r="R3351" s="205" t="s">
        <v>7595</v>
      </c>
      <c r="V3351" s="13"/>
      <c r="W3351" s="13"/>
      <c r="X3351" s="13"/>
      <c r="Y3351" s="13"/>
      <c r="Z3351" s="13"/>
    </row>
    <row r="3352" spans="2:27" x14ac:dyDescent="0.35">
      <c r="D3352" s="10" t="s">
        <v>7598</v>
      </c>
      <c r="E3352" s="639">
        <v>220</v>
      </c>
      <c r="F3352" s="639">
        <v>100</v>
      </c>
      <c r="G3352" s="639">
        <v>5</v>
      </c>
      <c r="I3352" s="13" t="s">
        <v>7600</v>
      </c>
      <c r="J3352" s="171">
        <v>714</v>
      </c>
      <c r="N3352" t="s">
        <v>7638</v>
      </c>
      <c r="O3352" s="162">
        <f>D3360</f>
        <v>30</v>
      </c>
      <c r="P3352" s="162">
        <f>MAX(H3360:H3374)</f>
        <v>245.33333333333334</v>
      </c>
      <c r="Q3352" s="162">
        <f>P3352</f>
        <v>245.33333333333334</v>
      </c>
      <c r="R3352" s="697">
        <f>MAX(N3360:N3374)</f>
        <v>3071.0105340478458</v>
      </c>
      <c r="V3352" s="13"/>
      <c r="W3352" s="13"/>
      <c r="X3352" s="13"/>
      <c r="Y3352" s="13"/>
      <c r="Z3352" s="13"/>
    </row>
    <row r="3353" spans="2:27" x14ac:dyDescent="0.35">
      <c r="D3353" s="15" t="s">
        <v>4170</v>
      </c>
      <c r="E3353" s="171">
        <v>47</v>
      </c>
      <c r="F3353" s="171">
        <v>100</v>
      </c>
      <c r="G3353" s="171">
        <v>47</v>
      </c>
      <c r="I3353" s="13" t="s">
        <v>4172</v>
      </c>
      <c r="J3353" s="11">
        <f>F3093*J3352/(J3351+J3352)</f>
        <v>0.21991786447638603</v>
      </c>
      <c r="N3353" t="s">
        <v>40</v>
      </c>
      <c r="O3353" s="639">
        <v>150</v>
      </c>
      <c r="P3353" s="639">
        <v>1000</v>
      </c>
      <c r="Q3353" s="639">
        <f>820</f>
        <v>820</v>
      </c>
      <c r="R3353" s="639">
        <f>10000/2</f>
        <v>5000</v>
      </c>
      <c r="V3353" s="13"/>
      <c r="W3353" s="13"/>
      <c r="X3353" s="13"/>
      <c r="Y3353" s="13"/>
      <c r="Z3353" s="13"/>
    </row>
    <row r="3354" spans="2:27" x14ac:dyDescent="0.35">
      <c r="D3354" s="15" t="s">
        <v>4169</v>
      </c>
      <c r="E3354" s="10">
        <f>E3352*E3353/1000000</f>
        <v>1.034E-2</v>
      </c>
      <c r="F3354" s="10">
        <f>F3352*F3353/1000000</f>
        <v>0.01</v>
      </c>
      <c r="G3354" s="10">
        <f>G3352*G3353/1000000</f>
        <v>2.3499999999999999E-4</v>
      </c>
      <c r="I3354" s="13" t="s">
        <v>2188</v>
      </c>
      <c r="J3354" s="15">
        <f>1000000*2.5/SUM(J3351:J3352)</f>
        <v>233.33955572148591</v>
      </c>
      <c r="N3354" t="s">
        <v>7636</v>
      </c>
      <c r="O3354" s="220">
        <f t="shared" ref="O3354:R3354" si="199">O3352/O3353</f>
        <v>0.2</v>
      </c>
      <c r="P3354" s="220">
        <f t="shared" si="199"/>
        <v>0.24533333333333335</v>
      </c>
      <c r="Q3354" s="220">
        <f t="shared" si="199"/>
        <v>0.29918699186991871</v>
      </c>
      <c r="R3354" s="220">
        <f t="shared" si="199"/>
        <v>0.6142021068095691</v>
      </c>
      <c r="V3354" s="13"/>
      <c r="W3354" s="13"/>
      <c r="X3354" s="13"/>
      <c r="Y3354" s="13"/>
      <c r="Z3354" s="13"/>
      <c r="AA3354" s="10"/>
    </row>
    <row r="3355" spans="2:27" x14ac:dyDescent="0.35">
      <c r="D3355" s="15" t="s">
        <v>4168</v>
      </c>
      <c r="E3355" s="10">
        <f>1/(6.28*E3354)</f>
        <v>15.399967968066626</v>
      </c>
      <c r="F3355" s="10">
        <f>1/(6.28*F3354)</f>
        <v>15.923566878980889</v>
      </c>
      <c r="G3355" s="10">
        <f>1/(6.28*G3354)</f>
        <v>677.59859059493158</v>
      </c>
      <c r="I3355" s="13" t="s">
        <v>4173</v>
      </c>
      <c r="J3355" s="13">
        <v>1</v>
      </c>
      <c r="N3355" t="s">
        <v>7637</v>
      </c>
      <c r="O3355" s="391">
        <f>O3354*0.001*O3352*0.001*1000</f>
        <v>6.0000000000000001E-3</v>
      </c>
      <c r="P3355" s="391">
        <f t="shared" ref="P3355:R3355" si="200">P3354*0.001*P3352*0.001*1000</f>
        <v>6.0188444444444454E-2</v>
      </c>
      <c r="Q3355" s="391">
        <f t="shared" si="200"/>
        <v>7.340054200542008E-2</v>
      </c>
      <c r="R3355" s="335">
        <f t="shared" si="200"/>
        <v>1.8862211400465669</v>
      </c>
      <c r="V3355" s="10"/>
      <c r="Y3355" s="13"/>
      <c r="Z3355" s="13"/>
      <c r="AA3355" s="10"/>
    </row>
    <row r="3356" spans="2:27" x14ac:dyDescent="0.35">
      <c r="D3356" s="335"/>
      <c r="E3356" s="335"/>
      <c r="F3356" s="335"/>
      <c r="I3356" s="13" t="s">
        <v>4174</v>
      </c>
      <c r="J3356" s="424">
        <f>1000000/(6.28*J3351*J3355)</f>
        <v>15.923566878980891</v>
      </c>
      <c r="N3356" t="s">
        <v>4496</v>
      </c>
      <c r="O3356" s="162"/>
      <c r="P3356" s="639">
        <v>10</v>
      </c>
      <c r="Q3356" s="845"/>
      <c r="R3356" s="639">
        <v>3</v>
      </c>
    </row>
    <row r="3357" spans="2:27" x14ac:dyDescent="0.35">
      <c r="D3357" s="335"/>
      <c r="E3357" s="335"/>
      <c r="F3357" s="335"/>
      <c r="I3357" s="13"/>
      <c r="J3357" s="424"/>
      <c r="N3357" s="13" t="s">
        <v>4497</v>
      </c>
      <c r="O3357" s="162"/>
      <c r="P3357" s="162">
        <f>1/(6.28*P3353*P3356*0.000001)</f>
        <v>15.923566878980893</v>
      </c>
      <c r="Q3357" s="697"/>
      <c r="R3357" s="162">
        <f>1/(6.28*R3353*R3356*0.000001)</f>
        <v>10.615711252653929</v>
      </c>
      <c r="S3357" s="8"/>
      <c r="T3357" s="8"/>
      <c r="U3357" s="8"/>
    </row>
    <row r="3358" spans="2:27" x14ac:dyDescent="0.35">
      <c r="D3358" s="335"/>
      <c r="E3358" s="335"/>
      <c r="F3358" s="335"/>
      <c r="I3358" s="13"/>
      <c r="J3358" s="424"/>
      <c r="N3358" s="13"/>
      <c r="P3358" s="15"/>
      <c r="Q3358" s="8"/>
      <c r="R3358" s="15"/>
      <c r="S3358" s="8"/>
      <c r="T3358" s="8"/>
      <c r="U3358" s="8"/>
    </row>
    <row r="3359" spans="2:27" x14ac:dyDescent="0.35">
      <c r="B3359" s="83" t="s">
        <v>7618</v>
      </c>
      <c r="D3359" s="333" t="s">
        <v>7609</v>
      </c>
      <c r="E3359" s="333" t="s">
        <v>7607</v>
      </c>
      <c r="F3359" s="333" t="s">
        <v>7608</v>
      </c>
      <c r="G3359" s="333" t="s">
        <v>3813</v>
      </c>
      <c r="H3359" s="333" t="s">
        <v>7606</v>
      </c>
      <c r="I3359" s="393"/>
      <c r="J3359" s="333" t="s">
        <v>7610</v>
      </c>
      <c r="K3359" s="333" t="s">
        <v>7611</v>
      </c>
      <c r="L3359" s="333" t="s">
        <v>7612</v>
      </c>
      <c r="M3359" s="333" t="s">
        <v>3819</v>
      </c>
      <c r="N3359" s="333" t="s">
        <v>7606</v>
      </c>
      <c r="P3359" s="8"/>
      <c r="Q3359" s="8"/>
      <c r="R3359" s="8"/>
      <c r="S3359" s="8"/>
      <c r="T3359" s="8"/>
      <c r="U3359" s="8"/>
    </row>
    <row r="3360" spans="2:27" x14ac:dyDescent="0.35">
      <c r="D3360" s="287">
        <f>D3344</f>
        <v>30</v>
      </c>
      <c r="E3360" s="171">
        <v>0</v>
      </c>
      <c r="F3360" s="98">
        <f>-D3342</f>
        <v>-2</v>
      </c>
      <c r="G3360" s="453">
        <f>(1+P3353/O3353)</f>
        <v>7.666666666666667</v>
      </c>
      <c r="H3360" s="13">
        <f>(D3360-(E3360+F3360))+((D3360-(E3360+F3360))*(G3360-1))</f>
        <v>245.33333333333334</v>
      </c>
      <c r="J3360" s="335">
        <f>H3360</f>
        <v>245.33333333333334</v>
      </c>
      <c r="K3360" s="719">
        <f>J3353*1000</f>
        <v>219.91786447638603</v>
      </c>
      <c r="L3360" s="423">
        <f>D3342</f>
        <v>2</v>
      </c>
      <c r="M3360" s="453">
        <f>(-R3353/Q3353)</f>
        <v>-6.0975609756097562</v>
      </c>
      <c r="N3360" s="15">
        <f>(K3360+L3360)+((J3360-(K3360+L3360))*M3360)</f>
        <v>79.140615348658514</v>
      </c>
      <c r="P3360" s="8"/>
      <c r="Q3360" s="8"/>
      <c r="R3360" s="8"/>
      <c r="S3360" s="8"/>
      <c r="T3360" s="8"/>
      <c r="U3360" s="8"/>
    </row>
    <row r="3361" spans="2:24" x14ac:dyDescent="0.35">
      <c r="D3361" s="15">
        <f t="shared" ref="D3361:D3363" si="201">D3360</f>
        <v>30</v>
      </c>
      <c r="E3361">
        <f>E3360</f>
        <v>0</v>
      </c>
      <c r="F3361" s="98">
        <v>0</v>
      </c>
      <c r="G3361" s="12">
        <f>G3360</f>
        <v>7.666666666666667</v>
      </c>
      <c r="H3361" s="13">
        <f t="shared" ref="H3361:H3363" si="202">(D3361-(E3361+F3361))+((D3361-(E3361+F3361))*(G3361-1))</f>
        <v>230</v>
      </c>
      <c r="J3361" s="335">
        <f t="shared" ref="J3361:J3363" si="203">H3361</f>
        <v>230</v>
      </c>
      <c r="K3361" s="13">
        <f>K3360</f>
        <v>219.91786447638603</v>
      </c>
      <c r="L3361" s="95">
        <v>0</v>
      </c>
      <c r="M3361" s="12">
        <f>M3360</f>
        <v>-6.0975609756097562</v>
      </c>
      <c r="N3361" s="15">
        <f t="shared" ref="N3361:N3363" si="204">(K3361+L3361)+((J3361-(K3361+L3361))*M3361)</f>
        <v>158.44142835678863</v>
      </c>
      <c r="P3361" s="8"/>
      <c r="Q3361" s="8"/>
      <c r="R3361" s="8"/>
      <c r="S3361" s="8"/>
      <c r="T3361" s="8"/>
      <c r="U3361" s="8"/>
    </row>
    <row r="3362" spans="2:24" x14ac:dyDescent="0.35">
      <c r="D3362" s="15">
        <f t="shared" si="201"/>
        <v>30</v>
      </c>
      <c r="E3362">
        <f>E3361</f>
        <v>0</v>
      </c>
      <c r="F3362" s="98">
        <f>D3342</f>
        <v>2</v>
      </c>
      <c r="G3362" s="12">
        <f>G3361</f>
        <v>7.666666666666667</v>
      </c>
      <c r="H3362" s="13">
        <f t="shared" si="202"/>
        <v>214.66666666666669</v>
      </c>
      <c r="J3362" s="335">
        <f t="shared" si="203"/>
        <v>214.66666666666669</v>
      </c>
      <c r="K3362" s="13">
        <f>K3361</f>
        <v>219.91786447638603</v>
      </c>
      <c r="L3362" s="423">
        <f>D3342</f>
        <v>2</v>
      </c>
      <c r="M3362" s="12">
        <f>M3361</f>
        <v>-6.0975609756097562</v>
      </c>
      <c r="N3362" s="15">
        <f t="shared" si="204"/>
        <v>266.13248526735765</v>
      </c>
      <c r="P3362" s="8"/>
      <c r="Q3362" s="8"/>
      <c r="R3362" s="8"/>
      <c r="S3362" s="8"/>
      <c r="T3362" s="8"/>
      <c r="U3362" s="8"/>
    </row>
    <row r="3363" spans="2:24" x14ac:dyDescent="0.35">
      <c r="D3363" s="15">
        <f t="shared" si="201"/>
        <v>30</v>
      </c>
      <c r="E3363">
        <f>E3362</f>
        <v>0</v>
      </c>
      <c r="F3363" s="98">
        <f>-D3342</f>
        <v>-2</v>
      </c>
      <c r="G3363" s="12">
        <f>G3362</f>
        <v>7.666666666666667</v>
      </c>
      <c r="H3363" s="13">
        <f t="shared" si="202"/>
        <v>245.33333333333334</v>
      </c>
      <c r="J3363" s="335">
        <f t="shared" si="203"/>
        <v>245.33333333333334</v>
      </c>
      <c r="K3363" s="13">
        <f>K3362</f>
        <v>219.91786447638603</v>
      </c>
      <c r="L3363" s="423">
        <f>-D3342</f>
        <v>-2</v>
      </c>
      <c r="M3363" s="12">
        <f>M3362</f>
        <v>-6.0975609756097562</v>
      </c>
      <c r="N3363" s="15">
        <f t="shared" si="204"/>
        <v>50.750371446219475</v>
      </c>
      <c r="P3363" s="8"/>
      <c r="Q3363" s="8"/>
      <c r="R3363" s="8"/>
      <c r="S3363" s="8"/>
      <c r="T3363" s="8"/>
      <c r="U3363" s="8"/>
    </row>
    <row r="3364" spans="2:24" x14ac:dyDescent="0.35">
      <c r="D3364" s="15"/>
      <c r="F3364" s="15"/>
      <c r="G3364" s="12"/>
      <c r="H3364" s="13"/>
      <c r="J3364" s="335"/>
      <c r="K3364" s="13"/>
      <c r="M3364" s="12"/>
      <c r="N3364" s="15"/>
      <c r="P3364" s="8"/>
      <c r="Q3364" s="8"/>
      <c r="R3364" s="8"/>
      <c r="S3364" s="8"/>
      <c r="T3364" s="8"/>
      <c r="U3364" s="8"/>
    </row>
    <row r="3365" spans="2:24" x14ac:dyDescent="0.35">
      <c r="D3365" s="642">
        <v>0</v>
      </c>
      <c r="E3365" s="95">
        <f>E3360</f>
        <v>0</v>
      </c>
      <c r="F3365" s="15">
        <f>F3360</f>
        <v>-2</v>
      </c>
      <c r="G3365" s="419">
        <f>G3360</f>
        <v>7.666666666666667</v>
      </c>
      <c r="H3365" s="13">
        <f t="shared" ref="H3365:H3368" si="205">(D3365-(E3365+F3365))+((D3365-(E3365+F3365))*(G3365-1))</f>
        <v>15.333333333333334</v>
      </c>
      <c r="J3365" s="335">
        <f>H3365</f>
        <v>15.333333333333334</v>
      </c>
      <c r="K3365" s="423">
        <f>K3360</f>
        <v>219.91786447638603</v>
      </c>
      <c r="L3365">
        <f>L3360</f>
        <v>2</v>
      </c>
      <c r="M3365" s="419">
        <f>M3360</f>
        <v>-6.0975609756097562</v>
      </c>
      <c r="N3365" s="15">
        <f t="shared" ref="N3365:N3368" si="206">(K3365+L3365)+((J3365-(K3365+L3365))*M3365)</f>
        <v>1481.5796397389024</v>
      </c>
      <c r="P3365" s="8"/>
      <c r="Q3365" s="8"/>
      <c r="R3365" s="8"/>
      <c r="S3365" s="8"/>
      <c r="T3365" s="8"/>
      <c r="U3365" s="8"/>
    </row>
    <row r="3366" spans="2:24" x14ac:dyDescent="0.35">
      <c r="D3366" s="15">
        <f t="shared" ref="D3366:D3368" si="207">D3365</f>
        <v>0</v>
      </c>
      <c r="E3366">
        <f>E3365</f>
        <v>0</v>
      </c>
      <c r="F3366" s="15">
        <f t="shared" ref="F3366:F3368" si="208">F3361</f>
        <v>0</v>
      </c>
      <c r="G3366" s="12">
        <f>G3365</f>
        <v>7.666666666666667</v>
      </c>
      <c r="H3366" s="13">
        <f t="shared" si="205"/>
        <v>0</v>
      </c>
      <c r="J3366" s="335">
        <f t="shared" ref="J3366:J3368" si="209">H3366</f>
        <v>0</v>
      </c>
      <c r="K3366" s="13">
        <f>K3365</f>
        <v>219.91786447638603</v>
      </c>
      <c r="L3366">
        <f t="shared" ref="L3366:L3368" si="210">L3361</f>
        <v>0</v>
      </c>
      <c r="M3366" s="12">
        <f>M3365</f>
        <v>-6.0975609756097562</v>
      </c>
      <c r="N3366" s="15">
        <f t="shared" si="206"/>
        <v>1560.8804527470327</v>
      </c>
      <c r="P3366" s="8"/>
      <c r="Q3366" s="8"/>
      <c r="R3366" s="8"/>
      <c r="S3366" s="8"/>
      <c r="T3366" s="8"/>
      <c r="U3366" s="8"/>
    </row>
    <row r="3367" spans="2:24" x14ac:dyDescent="0.35">
      <c r="D3367" s="15">
        <f t="shared" si="207"/>
        <v>0</v>
      </c>
      <c r="E3367">
        <f>E3366</f>
        <v>0</v>
      </c>
      <c r="F3367" s="15">
        <f t="shared" si="208"/>
        <v>2</v>
      </c>
      <c r="G3367" s="12">
        <f>G3366</f>
        <v>7.666666666666667</v>
      </c>
      <c r="H3367" s="13">
        <f t="shared" si="205"/>
        <v>-15.333333333333334</v>
      </c>
      <c r="J3367" s="335">
        <f t="shared" si="209"/>
        <v>-15.333333333333334</v>
      </c>
      <c r="K3367" s="13">
        <f>K3366</f>
        <v>219.91786447638603</v>
      </c>
      <c r="L3367">
        <f t="shared" si="210"/>
        <v>2</v>
      </c>
      <c r="M3367" s="12">
        <f>M3366</f>
        <v>-6.0975609756097562</v>
      </c>
      <c r="N3367" s="15">
        <f t="shared" si="206"/>
        <v>1668.5715096576018</v>
      </c>
      <c r="P3367" s="8"/>
      <c r="Q3367" s="8"/>
      <c r="R3367" s="8"/>
      <c r="S3367" s="8"/>
      <c r="T3367" s="8"/>
      <c r="U3367" s="8"/>
    </row>
    <row r="3368" spans="2:24" x14ac:dyDescent="0.35">
      <c r="D3368" s="15">
        <f t="shared" si="207"/>
        <v>0</v>
      </c>
      <c r="E3368">
        <f>E3367</f>
        <v>0</v>
      </c>
      <c r="F3368" s="15">
        <f t="shared" si="208"/>
        <v>-2</v>
      </c>
      <c r="G3368" s="12">
        <f>G3367</f>
        <v>7.666666666666667</v>
      </c>
      <c r="H3368" s="13">
        <f t="shared" si="205"/>
        <v>15.333333333333334</v>
      </c>
      <c r="J3368" s="335">
        <f t="shared" si="209"/>
        <v>15.333333333333334</v>
      </c>
      <c r="K3368" s="13">
        <f>K3367</f>
        <v>219.91786447638603</v>
      </c>
      <c r="L3368">
        <f t="shared" si="210"/>
        <v>-2</v>
      </c>
      <c r="M3368" s="12">
        <f>M3367</f>
        <v>-6.0975609756097562</v>
      </c>
      <c r="N3368" s="15">
        <f t="shared" si="206"/>
        <v>1453.1893958364635</v>
      </c>
      <c r="P3368" s="8"/>
      <c r="Q3368" s="8"/>
      <c r="R3368" s="8"/>
      <c r="S3368" s="8"/>
      <c r="T3368" s="8"/>
      <c r="U3368" s="8"/>
    </row>
    <row r="3369" spans="2:24" x14ac:dyDescent="0.35">
      <c r="D3369" s="15"/>
      <c r="F3369" s="15"/>
      <c r="G3369" s="12"/>
      <c r="H3369" s="13"/>
      <c r="J3369" s="335"/>
      <c r="K3369" s="13"/>
      <c r="M3369" s="12"/>
      <c r="N3369" s="15"/>
      <c r="P3369" s="8"/>
      <c r="Q3369" s="8"/>
      <c r="R3369" s="8"/>
      <c r="S3369" s="8"/>
      <c r="T3369" s="8"/>
      <c r="U3369" s="8"/>
    </row>
    <row r="3370" spans="2:24" x14ac:dyDescent="0.35">
      <c r="D3370" s="287">
        <f>D3343</f>
        <v>-30</v>
      </c>
      <c r="E3370" s="95">
        <f>E3360</f>
        <v>0</v>
      </c>
      <c r="F3370" s="15">
        <f>F3360</f>
        <v>-2</v>
      </c>
      <c r="G3370" s="419">
        <f>G3360</f>
        <v>7.666666666666667</v>
      </c>
      <c r="H3370" s="13">
        <f t="shared" ref="H3370:H3374" si="211">(D3370-(E3370+F3370))+((D3370-(E3370+F3370))*(G3370-1))</f>
        <v>-214.66666666666669</v>
      </c>
      <c r="J3370" s="335">
        <f>H3370</f>
        <v>-214.66666666666669</v>
      </c>
      <c r="K3370" s="423">
        <f>K3360</f>
        <v>219.91786447638603</v>
      </c>
      <c r="L3370">
        <f>L3360</f>
        <v>2</v>
      </c>
      <c r="M3370" s="419">
        <f>M3360</f>
        <v>-6.0975609756097562</v>
      </c>
      <c r="N3370" s="15">
        <f t="shared" ref="N3370:N3374" si="212">(K3370+L3370)+((J3370-(K3370+L3370))*M3370)</f>
        <v>2884.0186641291466</v>
      </c>
      <c r="P3370" s="8"/>
      <c r="Q3370" s="8"/>
      <c r="R3370" s="8"/>
      <c r="S3370" s="8"/>
      <c r="T3370" s="8"/>
      <c r="U3370" s="8"/>
    </row>
    <row r="3371" spans="2:24" x14ac:dyDescent="0.35">
      <c r="D3371" s="15">
        <f>D3370</f>
        <v>-30</v>
      </c>
      <c r="E3371">
        <f>E3369</f>
        <v>0</v>
      </c>
      <c r="F3371" s="15">
        <f>F3367</f>
        <v>2</v>
      </c>
      <c r="G3371" s="12">
        <f>G3370</f>
        <v>7.666666666666667</v>
      </c>
      <c r="H3371" s="13">
        <f t="shared" si="211"/>
        <v>-245.33333333333334</v>
      </c>
      <c r="J3371" s="335">
        <f t="shared" ref="J3371:J3374" si="213">H3371</f>
        <v>-245.33333333333334</v>
      </c>
      <c r="K3371" s="13">
        <f>K3370</f>
        <v>219.91786447638603</v>
      </c>
      <c r="L3371">
        <v>2</v>
      </c>
      <c r="M3371" s="12">
        <f>M3370</f>
        <v>-6.0975609756097562</v>
      </c>
      <c r="N3371" s="15">
        <f t="shared" si="212"/>
        <v>3071.0105340478458</v>
      </c>
      <c r="P3371" s="8"/>
      <c r="Q3371" s="8"/>
      <c r="R3371" s="8"/>
      <c r="S3371" s="8"/>
      <c r="T3371" s="8"/>
      <c r="U3371" s="8"/>
    </row>
    <row r="3372" spans="2:24" x14ac:dyDescent="0.35">
      <c r="D3372" s="15">
        <f>D3370</f>
        <v>-30</v>
      </c>
      <c r="E3372">
        <f>E3370</f>
        <v>0</v>
      </c>
      <c r="F3372" s="15">
        <f>F3361</f>
        <v>0</v>
      </c>
      <c r="G3372" s="12">
        <f>G3370</f>
        <v>7.666666666666667</v>
      </c>
      <c r="H3372" s="13">
        <f t="shared" si="211"/>
        <v>-230</v>
      </c>
      <c r="J3372" s="335">
        <f t="shared" si="213"/>
        <v>-230</v>
      </c>
      <c r="K3372" s="13">
        <f>K3370</f>
        <v>219.91786447638603</v>
      </c>
      <c r="L3372">
        <f>L3361</f>
        <v>0</v>
      </c>
      <c r="M3372" s="12">
        <f>M3370</f>
        <v>-6.0975609756097562</v>
      </c>
      <c r="N3372" s="15">
        <f t="shared" si="212"/>
        <v>2963.3194771372769</v>
      </c>
      <c r="P3372" s="8"/>
      <c r="Q3372" s="8"/>
      <c r="R3372" s="8"/>
      <c r="S3372" s="8"/>
      <c r="T3372" s="8"/>
      <c r="U3372" s="8"/>
    </row>
    <row r="3373" spans="2:24" x14ac:dyDescent="0.35">
      <c r="D3373" s="15">
        <f t="shared" ref="D3373:D3374" si="214">D3372</f>
        <v>-30</v>
      </c>
      <c r="E3373">
        <f>E3372</f>
        <v>0</v>
      </c>
      <c r="F3373" s="15">
        <f>F3362</f>
        <v>2</v>
      </c>
      <c r="G3373" s="12">
        <f>G3372</f>
        <v>7.666666666666667</v>
      </c>
      <c r="H3373" s="13">
        <f t="shared" si="211"/>
        <v>-245.33333333333334</v>
      </c>
      <c r="J3373" s="335">
        <f t="shared" si="213"/>
        <v>-245.33333333333334</v>
      </c>
      <c r="K3373" s="13">
        <f>K3372</f>
        <v>219.91786447638603</v>
      </c>
      <c r="L3373">
        <f>L3362</f>
        <v>2</v>
      </c>
      <c r="M3373" s="12">
        <f>M3372</f>
        <v>-6.0975609756097562</v>
      </c>
      <c r="N3373" s="15">
        <f t="shared" si="212"/>
        <v>3071.0105340478458</v>
      </c>
      <c r="P3373" s="8"/>
      <c r="Q3373" s="8"/>
      <c r="R3373" s="8"/>
      <c r="S3373" s="8"/>
      <c r="T3373" s="8"/>
      <c r="U3373" s="8"/>
    </row>
    <row r="3374" spans="2:24" x14ac:dyDescent="0.35">
      <c r="D3374" s="15">
        <f t="shared" si="214"/>
        <v>-30</v>
      </c>
      <c r="E3374">
        <f>E3373</f>
        <v>0</v>
      </c>
      <c r="F3374" s="15">
        <f>F3363</f>
        <v>-2</v>
      </c>
      <c r="G3374" s="12">
        <f>G3373</f>
        <v>7.666666666666667</v>
      </c>
      <c r="H3374" s="13">
        <f t="shared" si="211"/>
        <v>-214.66666666666669</v>
      </c>
      <c r="J3374" s="335">
        <f t="shared" si="213"/>
        <v>-214.66666666666669</v>
      </c>
      <c r="K3374" s="13">
        <f>K3373</f>
        <v>219.91786447638603</v>
      </c>
      <c r="L3374">
        <f>L3363</f>
        <v>-2</v>
      </c>
      <c r="M3374" s="12">
        <f>M3373</f>
        <v>-6.0975609756097562</v>
      </c>
      <c r="N3374" s="15">
        <f t="shared" si="212"/>
        <v>2855.6284202267075</v>
      </c>
      <c r="P3374" s="8"/>
      <c r="Q3374" s="8"/>
      <c r="R3374" s="8"/>
      <c r="S3374" s="8"/>
      <c r="T3374" s="8"/>
      <c r="U3374" s="8"/>
    </row>
    <row r="3375" spans="2:24" x14ac:dyDescent="0.35">
      <c r="G3375" s="12"/>
      <c r="H3375" s="13"/>
      <c r="J3375" s="335"/>
      <c r="K3375" s="13"/>
      <c r="M3375" s="12"/>
      <c r="N3375" s="15"/>
      <c r="P3375" s="335"/>
      <c r="Q3375" s="13"/>
      <c r="S3375" s="13"/>
      <c r="T3375" s="15"/>
      <c r="U3375" s="170"/>
    </row>
    <row r="3376" spans="2:24" ht="29" customHeight="1" x14ac:dyDescent="0.35">
      <c r="B3376" s="83" t="s">
        <v>7614</v>
      </c>
      <c r="D3376" s="307" t="s">
        <v>6557</v>
      </c>
      <c r="E3376" s="307" t="s">
        <v>6553</v>
      </c>
      <c r="F3376" s="307" t="s">
        <v>7615</v>
      </c>
      <c r="G3376" s="307" t="s">
        <v>6554</v>
      </c>
      <c r="H3376" s="307" t="s">
        <v>6555</v>
      </c>
      <c r="I3376" s="307" t="s">
        <v>6556</v>
      </c>
      <c r="J3376" s="307" t="s">
        <v>6560</v>
      </c>
      <c r="K3376" s="307" t="s">
        <v>6559</v>
      </c>
      <c r="L3376" s="307" t="s">
        <v>6558</v>
      </c>
      <c r="N3376" s="534" t="s">
        <v>7616</v>
      </c>
      <c r="S3376" s="73"/>
      <c r="T3376" s="1"/>
      <c r="U3376" s="1"/>
      <c r="W3376" s="313"/>
      <c r="X3376" s="1"/>
    </row>
    <row r="3377" spans="1:24" x14ac:dyDescent="0.35">
      <c r="D3377" s="629">
        <f>E3352</f>
        <v>220</v>
      </c>
      <c r="E3377" s="638">
        <v>4.2</v>
      </c>
      <c r="F3377" s="413">
        <v>3.45</v>
      </c>
      <c r="G3377" s="155">
        <v>0.15</v>
      </c>
      <c r="H3377" s="413">
        <f>G3377+F3377</f>
        <v>3.6</v>
      </c>
      <c r="I3377" s="413">
        <f>E3377-H3377</f>
        <v>0.60000000000000009</v>
      </c>
      <c r="J3377" s="413">
        <f>1000* I3377/D3377</f>
        <v>2.727272727272728</v>
      </c>
      <c r="K3377" s="670">
        <f>J3377*I3377</f>
        <v>1.6363636363636369</v>
      </c>
      <c r="L3377" s="670">
        <f>E3377*J3377</f>
        <v>11.454545454545459</v>
      </c>
      <c r="N3377" s="489" t="s">
        <v>7617</v>
      </c>
      <c r="S3377" s="73"/>
      <c r="T3377" s="1"/>
      <c r="U3377" s="1"/>
      <c r="W3377" s="313"/>
      <c r="X3377" s="1"/>
    </row>
    <row r="3378" spans="1:24" x14ac:dyDescent="0.35">
      <c r="A3378" s="87"/>
      <c r="K3378" s="1"/>
    </row>
    <row r="3379" spans="1:24" x14ac:dyDescent="0.35">
      <c r="B3379" s="83" t="s">
        <v>4799</v>
      </c>
      <c r="D3379" s="155" t="s">
        <v>4431</v>
      </c>
      <c r="E3379" s="155"/>
      <c r="H3379" s="155"/>
      <c r="J3379" s="1" t="s">
        <v>4430</v>
      </c>
      <c r="M3379" s="295"/>
      <c r="O3379" s="295"/>
      <c r="P3379" s="295"/>
      <c r="Q3379" s="295"/>
      <c r="R3379" s="295"/>
      <c r="T3379" s="295"/>
      <c r="U3379" s="1"/>
      <c r="W3379" s="313"/>
      <c r="X3379" s="1"/>
    </row>
    <row r="3380" spans="1:24" x14ac:dyDescent="0.35">
      <c r="D3380" s="155"/>
      <c r="E3380" s="155"/>
      <c r="F3380" s="155"/>
      <c r="G3380" s="1"/>
      <c r="H3380" s="155"/>
      <c r="J3380" s="155"/>
      <c r="M3380" s="295"/>
      <c r="O3380" s="295"/>
      <c r="P3380" s="295"/>
      <c r="Q3380" s="295"/>
      <c r="R3380" s="295"/>
      <c r="T3380" s="295"/>
      <c r="U3380" s="1"/>
      <c r="W3380" s="313"/>
      <c r="X3380" s="1"/>
    </row>
    <row r="3381" spans="1:24" ht="24.5" x14ac:dyDescent="0.35">
      <c r="D3381" s="214" t="s">
        <v>4432</v>
      </c>
      <c r="E3381" s="214" t="s">
        <v>4433</v>
      </c>
      <c r="F3381" s="214" t="s">
        <v>4436</v>
      </c>
      <c r="G3381" s="442"/>
      <c r="H3381" s="214" t="s">
        <v>4434</v>
      </c>
      <c r="I3381" s="214" t="s">
        <v>4435</v>
      </c>
      <c r="J3381" s="441"/>
      <c r="M3381" s="295"/>
      <c r="O3381" s="295"/>
      <c r="P3381" s="295"/>
      <c r="Q3381" s="295"/>
      <c r="R3381" s="295"/>
      <c r="T3381" s="295"/>
      <c r="U3381" s="1"/>
      <c r="W3381" s="313"/>
      <c r="X3381" s="1"/>
    </row>
    <row r="3382" spans="1:24" x14ac:dyDescent="0.35">
      <c r="D3382" s="155">
        <v>1</v>
      </c>
      <c r="E3382" s="155">
        <v>1</v>
      </c>
      <c r="F3382" s="155">
        <v>1</v>
      </c>
      <c r="G3382" s="1"/>
      <c r="H3382" s="155">
        <v>0.5</v>
      </c>
      <c r="I3382">
        <f>(D3382/E3382)*(H3382/F3382)</f>
        <v>0.5</v>
      </c>
      <c r="J3382" s="155"/>
      <c r="O3382" s="295"/>
      <c r="P3382" s="295"/>
      <c r="Q3382" s="295"/>
      <c r="R3382" s="295"/>
      <c r="T3382" s="295"/>
      <c r="U3382" s="1"/>
      <c r="W3382" s="313"/>
      <c r="X3382" s="1"/>
    </row>
    <row r="3383" spans="1:24" x14ac:dyDescent="0.35">
      <c r="D3383" s="155"/>
      <c r="E3383" s="155"/>
      <c r="F3383" s="155"/>
      <c r="G3383" s="1"/>
      <c r="H3383" s="155"/>
      <c r="J3383" s="155"/>
      <c r="O3383" s="295"/>
      <c r="P3383" s="295"/>
      <c r="Q3383" s="295"/>
      <c r="R3383" s="295"/>
      <c r="T3383" s="295"/>
      <c r="U3383" s="1"/>
      <c r="W3383" s="313"/>
      <c r="X3383" s="1"/>
    </row>
    <row r="3384" spans="1:24" x14ac:dyDescent="0.35">
      <c r="B3384" s="83" t="s">
        <v>2662</v>
      </c>
      <c r="F3384" s="155"/>
      <c r="G3384" s="155"/>
      <c r="H3384" s="155"/>
      <c r="I3384" s="841" t="s">
        <v>7626</v>
      </c>
      <c r="J3384" s="842" t="s">
        <v>7627</v>
      </c>
      <c r="K3384" s="842"/>
      <c r="L3384" s="843"/>
      <c r="Q3384" s="295"/>
      <c r="R3384" s="295"/>
      <c r="T3384" s="295"/>
      <c r="U3384" s="1"/>
      <c r="W3384" s="313"/>
      <c r="X3384" s="1"/>
    </row>
    <row r="3385" spans="1:24" ht="38" customHeight="1" x14ac:dyDescent="0.35">
      <c r="D3385" s="214" t="s">
        <v>7630</v>
      </c>
      <c r="F3385" s="214" t="s">
        <v>7622</v>
      </c>
      <c r="G3385" s="214" t="s">
        <v>7623</v>
      </c>
      <c r="I3385" s="214" t="s">
        <v>7620</v>
      </c>
      <c r="J3385" s="214" t="s">
        <v>7621</v>
      </c>
      <c r="L3385" s="214" t="s">
        <v>7629</v>
      </c>
      <c r="M3385" s="155"/>
      <c r="N3385" s="214" t="s">
        <v>5777</v>
      </c>
      <c r="Q3385" s="295"/>
      <c r="R3385" s="295"/>
      <c r="T3385" s="295"/>
      <c r="U3385" s="1"/>
      <c r="W3385" s="313"/>
      <c r="X3385" s="1"/>
    </row>
    <row r="3386" spans="1:24" x14ac:dyDescent="0.35">
      <c r="D3386" t="s">
        <v>7631</v>
      </c>
      <c r="F3386" s="295" t="s">
        <v>7619</v>
      </c>
      <c r="G3386" s="295" t="s">
        <v>7624</v>
      </c>
      <c r="H3386" s="143"/>
      <c r="I3386" s="318" t="s">
        <v>4726</v>
      </c>
      <c r="J3386" s="155">
        <v>4.5999999999999996</v>
      </c>
      <c r="K3386" s="155"/>
      <c r="M3386" s="155"/>
      <c r="N3386" t="s">
        <v>7791</v>
      </c>
      <c r="Q3386" s="295"/>
      <c r="R3386" s="295"/>
      <c r="T3386" s="295"/>
      <c r="U3386" s="1"/>
      <c r="W3386" s="313"/>
      <c r="X3386" s="1"/>
    </row>
    <row r="3387" spans="1:24" x14ac:dyDescent="0.35">
      <c r="D3387" t="s">
        <v>7632</v>
      </c>
      <c r="F3387" s="295" t="s">
        <v>4093</v>
      </c>
      <c r="G3387" s="295" t="s">
        <v>7625</v>
      </c>
      <c r="H3387" s="201"/>
      <c r="I3387" s="155"/>
      <c r="J3387" s="155"/>
      <c r="L3387" s="155">
        <v>0.9</v>
      </c>
      <c r="N3387" s="295" t="s">
        <v>7628</v>
      </c>
      <c r="Q3387" s="295"/>
      <c r="R3387" s="295"/>
      <c r="T3387" s="295"/>
      <c r="U3387" s="1"/>
      <c r="W3387" s="313"/>
      <c r="X3387" s="1"/>
    </row>
    <row r="3388" spans="1:24" x14ac:dyDescent="0.35">
      <c r="D3388" s="335"/>
      <c r="E3388" s="335"/>
      <c r="F3388" s="335"/>
      <c r="R3388" s="162"/>
    </row>
    <row r="3389" spans="1:24" s="5" customFormat="1" x14ac:dyDescent="0.35">
      <c r="A3389" s="86" t="s">
        <v>9135</v>
      </c>
    </row>
    <row r="3390" spans="1:24" x14ac:dyDescent="0.35">
      <c r="D3390" s="335"/>
      <c r="E3390" s="335"/>
      <c r="F3390" s="335"/>
      <c r="R3390" s="162"/>
    </row>
    <row r="3391" spans="1:24" x14ac:dyDescent="0.35">
      <c r="B3391" s="83" t="s">
        <v>7633</v>
      </c>
      <c r="F3391" s="335"/>
      <c r="R3391" s="162"/>
    </row>
    <row r="3392" spans="1:24" x14ac:dyDescent="0.35">
      <c r="D3392" s="335"/>
      <c r="E3392" s="335"/>
      <c r="F3392" s="335"/>
      <c r="R3392" s="162"/>
    </row>
    <row r="3393" spans="1:27" x14ac:dyDescent="0.35">
      <c r="D3393" s="335" t="s">
        <v>3951</v>
      </c>
      <c r="E3393" s="335"/>
      <c r="F3393" t="s">
        <v>7801</v>
      </c>
      <c r="N3393" s="403"/>
      <c r="O3393" s="404"/>
      <c r="Q3393" s="8"/>
    </row>
    <row r="3394" spans="1:27" s="7" customFormat="1" x14ac:dyDescent="0.35">
      <c r="A3394" s="831"/>
      <c r="B3394" s="832"/>
      <c r="D3394" s="7" t="s">
        <v>3295</v>
      </c>
      <c r="F3394" s="155" t="s">
        <v>7032</v>
      </c>
      <c r="N3394" s="833"/>
      <c r="O3394" s="834"/>
      <c r="Q3394" s="380"/>
    </row>
    <row r="3395" spans="1:27" x14ac:dyDescent="0.35">
      <c r="D3395" s="847">
        <v>2</v>
      </c>
      <c r="F3395" s="7" t="s">
        <v>7613</v>
      </c>
      <c r="G3395" s="7"/>
      <c r="H3395" s="7"/>
      <c r="I3395" s="7"/>
      <c r="J3395" s="7"/>
      <c r="K3395" s="7"/>
      <c r="L3395" s="7"/>
      <c r="M3395" s="835"/>
      <c r="N3395" s="833"/>
      <c r="O3395" s="834"/>
      <c r="P3395" s="7"/>
      <c r="Q3395" s="380"/>
      <c r="R3395" s="7"/>
    </row>
    <row r="3396" spans="1:27" x14ac:dyDescent="0.35">
      <c r="D3396" s="846">
        <v>-2</v>
      </c>
      <c r="F3396" s="7" t="s">
        <v>7639</v>
      </c>
      <c r="G3396" s="7"/>
      <c r="H3396" s="7"/>
      <c r="I3396" s="7"/>
      <c r="J3396" s="7"/>
      <c r="K3396" s="7"/>
      <c r="L3396" s="7"/>
      <c r="M3396" s="835"/>
      <c r="N3396" s="833"/>
      <c r="O3396" s="834"/>
      <c r="P3396" s="7"/>
      <c r="Q3396" s="380"/>
      <c r="R3396" s="7"/>
    </row>
    <row r="3397" spans="1:27" x14ac:dyDescent="0.35">
      <c r="D3397" s="846">
        <v>20</v>
      </c>
      <c r="F3397" s="7" t="s">
        <v>7640</v>
      </c>
      <c r="G3397" s="7"/>
      <c r="H3397" s="7"/>
      <c r="I3397" s="7"/>
      <c r="J3397" s="7"/>
      <c r="K3397" s="7"/>
      <c r="L3397" s="7"/>
      <c r="M3397" s="835"/>
      <c r="N3397" s="833"/>
      <c r="O3397" s="834"/>
      <c r="P3397" s="7"/>
      <c r="Q3397" s="380"/>
      <c r="R3397" s="7"/>
    </row>
    <row r="3398" spans="1:27" x14ac:dyDescent="0.35">
      <c r="D3398" s="636">
        <f>MAX(N3413:N3427)</f>
        <v>3050.8313163528333</v>
      </c>
      <c r="F3398" s="7" t="s">
        <v>7641</v>
      </c>
      <c r="G3398" s="7"/>
      <c r="H3398" s="7"/>
      <c r="I3398" s="7"/>
      <c r="J3398" s="7"/>
      <c r="K3398" s="7"/>
      <c r="L3398" s="7"/>
      <c r="M3398" s="835"/>
      <c r="N3398" s="833"/>
      <c r="O3398" s="834"/>
      <c r="P3398" s="7"/>
      <c r="Q3398" s="380"/>
      <c r="R3398" s="7"/>
    </row>
    <row r="3399" spans="1:27" x14ac:dyDescent="0.35">
      <c r="D3399" s="636">
        <f>MIN(N3413:N3427)</f>
        <v>-38.275066625890275</v>
      </c>
      <c r="F3399" s="7" t="s">
        <v>7642</v>
      </c>
      <c r="G3399" s="7"/>
      <c r="H3399" s="7"/>
      <c r="I3399" s="7"/>
      <c r="J3399" s="7"/>
      <c r="K3399" s="7"/>
      <c r="L3399" s="7"/>
      <c r="M3399" s="835"/>
      <c r="N3399" s="833"/>
      <c r="O3399" s="834"/>
      <c r="P3399" s="7"/>
      <c r="Q3399" s="380"/>
      <c r="R3399" s="7"/>
    </row>
    <row r="3400" spans="1:27" x14ac:dyDescent="0.35">
      <c r="D3400" s="636">
        <f>ABS(G3413*M3413)</f>
        <v>117.02127659574468</v>
      </c>
      <c r="F3400" s="19" t="s">
        <v>7643</v>
      </c>
      <c r="G3400" s="7"/>
      <c r="H3400" s="7"/>
      <c r="I3400" s="7"/>
      <c r="J3400" s="7"/>
      <c r="K3400" s="7"/>
      <c r="L3400" s="7"/>
      <c r="M3400" s="835"/>
      <c r="N3400" s="833"/>
      <c r="O3400" s="834"/>
      <c r="P3400" s="7"/>
      <c r="Q3400" s="380"/>
      <c r="R3400" s="7"/>
    </row>
    <row r="3401" spans="1:27" x14ac:dyDescent="0.35">
      <c r="D3401" s="7"/>
      <c r="E3401" s="7"/>
      <c r="F3401" s="7"/>
      <c r="G3401" s="7"/>
      <c r="I3401" s="4"/>
      <c r="J3401" s="4"/>
      <c r="K3401" s="4"/>
      <c r="L3401" s="4"/>
      <c r="M3401" s="171"/>
      <c r="N3401" s="829"/>
      <c r="O3401" s="830"/>
      <c r="P3401" s="4"/>
      <c r="Q3401" s="379"/>
      <c r="R3401" s="379"/>
    </row>
    <row r="3402" spans="1:27" x14ac:dyDescent="0.35">
      <c r="D3402" s="836"/>
      <c r="E3402" s="844" t="s">
        <v>7635</v>
      </c>
      <c r="F3402" s="844"/>
      <c r="G3402" s="814"/>
      <c r="I3402" s="836" t="s">
        <v>7634</v>
      </c>
      <c r="J3402" s="837"/>
      <c r="K3402" s="838"/>
      <c r="L3402" s="839"/>
      <c r="N3402" s="836"/>
      <c r="O3402" s="840" t="s">
        <v>7603</v>
      </c>
      <c r="P3402" s="840"/>
      <c r="Q3402" s="840"/>
      <c r="R3402" s="814"/>
      <c r="V3402" s="13"/>
      <c r="W3402" s="13"/>
      <c r="X3402" s="13"/>
      <c r="Y3402" s="13"/>
      <c r="Z3402" s="13"/>
    </row>
    <row r="3403" spans="1:27" x14ac:dyDescent="0.35">
      <c r="E3403" s="828"/>
      <c r="F3403" s="335"/>
      <c r="I3403" s="827"/>
      <c r="J3403" s="295"/>
      <c r="N3403" s="403"/>
      <c r="O3403" s="404"/>
      <c r="Q3403" s="8"/>
      <c r="R3403" s="8"/>
      <c r="V3403" s="13"/>
      <c r="W3403" s="13"/>
      <c r="X3403" s="13"/>
      <c r="Y3403" s="13"/>
      <c r="Z3403" s="13"/>
    </row>
    <row r="3404" spans="1:27" ht="24.5" x14ac:dyDescent="0.35">
      <c r="D3404" s="827"/>
      <c r="E3404" s="123" t="s">
        <v>7602</v>
      </c>
      <c r="F3404" s="123" t="s">
        <v>7601</v>
      </c>
      <c r="G3404" s="123" t="s">
        <v>7601</v>
      </c>
      <c r="I3404" s="13" t="s">
        <v>7599</v>
      </c>
      <c r="J3404" s="639">
        <v>10000</v>
      </c>
      <c r="N3404" s="205"/>
      <c r="O3404" s="205" t="s">
        <v>7604</v>
      </c>
      <c r="P3404" s="205" t="s">
        <v>7605</v>
      </c>
      <c r="Q3404" s="205" t="s">
        <v>4493</v>
      </c>
      <c r="R3404" s="205" t="s">
        <v>7595</v>
      </c>
      <c r="V3404" s="13"/>
      <c r="W3404" s="13"/>
      <c r="X3404" s="13"/>
      <c r="Y3404" s="13"/>
      <c r="Z3404" s="13"/>
    </row>
    <row r="3405" spans="1:27" x14ac:dyDescent="0.35">
      <c r="D3405" s="10" t="s">
        <v>7598</v>
      </c>
      <c r="E3405" s="639">
        <v>220</v>
      </c>
      <c r="F3405" s="639">
        <v>100</v>
      </c>
      <c r="G3405" s="639">
        <v>5</v>
      </c>
      <c r="I3405" s="13" t="s">
        <v>7600</v>
      </c>
      <c r="J3405" s="171">
        <v>714</v>
      </c>
      <c r="N3405" t="s">
        <v>7638</v>
      </c>
      <c r="O3405" s="162">
        <f>D3413</f>
        <v>20</v>
      </c>
      <c r="P3405" s="162">
        <f>MAX(H3413:H3427)</f>
        <v>242</v>
      </c>
      <c r="Q3405" s="162">
        <f>P3405</f>
        <v>242</v>
      </c>
      <c r="R3405" s="697">
        <f>MAX(N3413:N3427)</f>
        <v>3050.8313163528333</v>
      </c>
      <c r="V3405" s="13"/>
      <c r="W3405" s="13"/>
      <c r="X3405" s="13"/>
      <c r="Y3405" s="13"/>
      <c r="Z3405" s="13"/>
    </row>
    <row r="3406" spans="1:27" x14ac:dyDescent="0.35">
      <c r="D3406" s="15" t="s">
        <v>4170</v>
      </c>
      <c r="E3406" s="171">
        <v>47</v>
      </c>
      <c r="F3406" s="171">
        <v>100</v>
      </c>
      <c r="G3406" s="171">
        <v>47</v>
      </c>
      <c r="I3406" s="13" t="s">
        <v>4172</v>
      </c>
      <c r="J3406" s="11">
        <f>F3093*J3405/(J3404+J3405)</f>
        <v>0.21991786447638603</v>
      </c>
      <c r="N3406" t="s">
        <v>40</v>
      </c>
      <c r="O3406" s="639">
        <v>100</v>
      </c>
      <c r="P3406" s="639">
        <v>1000</v>
      </c>
      <c r="Q3406" s="639">
        <v>470</v>
      </c>
      <c r="R3406" s="639">
        <f>10000/2</f>
        <v>5000</v>
      </c>
      <c r="V3406" s="13"/>
      <c r="W3406" s="13"/>
      <c r="X3406" s="13"/>
      <c r="Y3406" s="13"/>
      <c r="Z3406" s="13"/>
    </row>
    <row r="3407" spans="1:27" x14ac:dyDescent="0.35">
      <c r="D3407" s="15" t="s">
        <v>4169</v>
      </c>
      <c r="E3407" s="10">
        <f>E3405*E3406/1000000</f>
        <v>1.034E-2</v>
      </c>
      <c r="F3407" s="10">
        <f>F3405*F3406/1000000</f>
        <v>0.01</v>
      </c>
      <c r="G3407" s="10">
        <f>G3405*G3406/1000000</f>
        <v>2.3499999999999999E-4</v>
      </c>
      <c r="I3407" s="13" t="s">
        <v>2188</v>
      </c>
      <c r="J3407" s="15">
        <f>1000000*2.5/SUM(J3404:J3405)</f>
        <v>233.33955572148591</v>
      </c>
      <c r="N3407" t="s">
        <v>7636</v>
      </c>
      <c r="O3407" s="220">
        <f t="shared" ref="O3407:R3407" si="215">O3405/O3406</f>
        <v>0.2</v>
      </c>
      <c r="P3407" s="220">
        <f t="shared" si="215"/>
        <v>0.24199999999999999</v>
      </c>
      <c r="Q3407" s="220">
        <f t="shared" si="215"/>
        <v>0.51489361702127656</v>
      </c>
      <c r="R3407" s="220">
        <f t="shared" si="215"/>
        <v>0.61016626327056667</v>
      </c>
      <c r="V3407" s="13"/>
      <c r="W3407" s="13"/>
      <c r="X3407" s="13"/>
      <c r="Y3407" s="13"/>
      <c r="Z3407" s="13"/>
      <c r="AA3407" s="10"/>
    </row>
    <row r="3408" spans="1:27" x14ac:dyDescent="0.35">
      <c r="D3408" s="15" t="s">
        <v>4168</v>
      </c>
      <c r="E3408" s="13">
        <f>1/(6.28*E3407)</f>
        <v>15.399967968066626</v>
      </c>
      <c r="F3408" s="13">
        <f>1/(6.28*F3407)</f>
        <v>15.923566878980889</v>
      </c>
      <c r="G3408" s="13">
        <f>1/(6.28*G3407)</f>
        <v>677.59859059493158</v>
      </c>
      <c r="I3408" s="13" t="s">
        <v>4173</v>
      </c>
      <c r="J3408" s="13">
        <v>1</v>
      </c>
      <c r="N3408" t="s">
        <v>7637</v>
      </c>
      <c r="O3408" s="391">
        <f>O3407*0.001*O3405*0.001*1000</f>
        <v>4.0000000000000001E-3</v>
      </c>
      <c r="P3408" s="391">
        <f t="shared" ref="P3408" si="216">P3407*0.001*P3405*0.001*1000</f>
        <v>5.8563999999999998E-2</v>
      </c>
      <c r="Q3408" s="391">
        <f t="shared" ref="Q3408" si="217">Q3407*0.001*Q3405*0.001*1000</f>
        <v>0.12460425531914894</v>
      </c>
      <c r="R3408" s="335">
        <f t="shared" ref="R3408" si="218">R3407*0.001*R3405*0.001*1000</f>
        <v>1.8615143441678323</v>
      </c>
      <c r="V3408" s="10"/>
      <c r="Y3408" s="13"/>
      <c r="Z3408" s="13"/>
      <c r="AA3408" s="10"/>
    </row>
    <row r="3409" spans="2:21" x14ac:dyDescent="0.35">
      <c r="D3409" s="335"/>
      <c r="E3409" s="335"/>
      <c r="F3409" s="335"/>
      <c r="I3409" s="13" t="s">
        <v>4174</v>
      </c>
      <c r="J3409" s="424">
        <f>1000000/(6.28*J3404*J3408)</f>
        <v>15.923566878980891</v>
      </c>
      <c r="N3409" t="s">
        <v>4496</v>
      </c>
      <c r="O3409" s="162"/>
      <c r="P3409" s="639">
        <v>10</v>
      </c>
      <c r="Q3409" s="845"/>
      <c r="R3409" s="639">
        <v>3</v>
      </c>
    </row>
    <row r="3410" spans="2:21" x14ac:dyDescent="0.35">
      <c r="D3410" s="335"/>
      <c r="E3410" s="335"/>
      <c r="F3410" s="335"/>
      <c r="I3410" s="13"/>
      <c r="J3410" s="424"/>
      <c r="N3410" s="13" t="s">
        <v>4497</v>
      </c>
      <c r="O3410" s="162"/>
      <c r="P3410" s="162">
        <f>1/(6.28*P3406*P3409*0.000001)</f>
        <v>15.923566878980893</v>
      </c>
      <c r="Q3410" s="697"/>
      <c r="R3410" s="162">
        <f>1/(6.28*R3406*R3409*0.000001)</f>
        <v>10.615711252653929</v>
      </c>
    </row>
    <row r="3411" spans="2:21" x14ac:dyDescent="0.35">
      <c r="D3411" s="335"/>
      <c r="E3411" s="335"/>
      <c r="F3411" s="335"/>
      <c r="I3411" s="13"/>
      <c r="J3411" s="424"/>
      <c r="N3411" s="403"/>
      <c r="O3411" s="404"/>
      <c r="P3411" s="8"/>
      <c r="Q3411" s="8"/>
      <c r="R3411" s="8"/>
      <c r="S3411" s="8"/>
      <c r="T3411" s="8"/>
      <c r="U3411" s="8"/>
    </row>
    <row r="3412" spans="2:21" x14ac:dyDescent="0.35">
      <c r="B3412" s="83" t="s">
        <v>7618</v>
      </c>
      <c r="D3412" s="333" t="s">
        <v>7609</v>
      </c>
      <c r="E3412" s="333" t="s">
        <v>7607</v>
      </c>
      <c r="F3412" s="333" t="s">
        <v>7608</v>
      </c>
      <c r="G3412" s="333" t="s">
        <v>3813</v>
      </c>
      <c r="H3412" s="333" t="s">
        <v>7606</v>
      </c>
      <c r="I3412" s="393"/>
      <c r="J3412" s="333" t="s">
        <v>7610</v>
      </c>
      <c r="K3412" s="333" t="s">
        <v>7611</v>
      </c>
      <c r="L3412" s="333" t="s">
        <v>7612</v>
      </c>
      <c r="M3412" s="333" t="s">
        <v>3819</v>
      </c>
      <c r="N3412" s="333" t="s">
        <v>7606</v>
      </c>
      <c r="P3412" s="8"/>
      <c r="Q3412" s="8"/>
      <c r="R3412" s="8"/>
      <c r="S3412" s="8"/>
      <c r="T3412" s="8"/>
      <c r="U3412" s="8"/>
    </row>
    <row r="3413" spans="2:21" x14ac:dyDescent="0.35">
      <c r="D3413" s="287">
        <f>D3397</f>
        <v>20</v>
      </c>
      <c r="E3413" s="171">
        <v>0</v>
      </c>
      <c r="F3413" s="423">
        <f>-D3395</f>
        <v>-2</v>
      </c>
      <c r="G3413" s="453">
        <f>(1+P3406/O3406)</f>
        <v>11</v>
      </c>
      <c r="H3413" s="13">
        <f>(D3413-(E3413+F3413))+((D3413-(E3413+F3413))*(G3413-1))</f>
        <v>242</v>
      </c>
      <c r="J3413" s="335">
        <f>H3413</f>
        <v>242</v>
      </c>
      <c r="K3413" s="719">
        <f>J3406*1000</f>
        <v>219.91786447638603</v>
      </c>
      <c r="L3413" s="423">
        <f>D3395</f>
        <v>2</v>
      </c>
      <c r="M3413" s="453">
        <f>(-R3406/Q3406)</f>
        <v>-10.638297872340425</v>
      </c>
      <c r="N3413" s="15">
        <f>(K3413+L3413)+((J3413-(K3413+L3413))*M3413)</f>
        <v>8.2781248634714473</v>
      </c>
      <c r="P3413" s="8"/>
      <c r="Q3413" s="8"/>
      <c r="R3413" s="8"/>
      <c r="S3413" s="8"/>
      <c r="T3413" s="8"/>
      <c r="U3413" s="8"/>
    </row>
    <row r="3414" spans="2:21" x14ac:dyDescent="0.35">
      <c r="D3414" s="15">
        <f t="shared" ref="D3414:D3416" si="219">D3413</f>
        <v>20</v>
      </c>
      <c r="E3414">
        <f>E3413</f>
        <v>0</v>
      </c>
      <c r="F3414" s="423">
        <v>0</v>
      </c>
      <c r="G3414" s="12">
        <f>G3413</f>
        <v>11</v>
      </c>
      <c r="H3414" s="13">
        <f t="shared" ref="H3414:H3416" si="220">(D3414-(E3414+F3414))+((D3414-(E3414+F3414))*(G3414-1))</f>
        <v>220</v>
      </c>
      <c r="J3414" s="335">
        <f t="shared" ref="J3414:J3416" si="221">H3414</f>
        <v>220</v>
      </c>
      <c r="K3414" s="13">
        <f>K3413</f>
        <v>219.91786447638603</v>
      </c>
      <c r="L3414" s="95">
        <v>0</v>
      </c>
      <c r="M3414" s="12">
        <f>M3413</f>
        <v>-10.638297872340425</v>
      </c>
      <c r="N3414" s="15">
        <f t="shared" ref="N3414:N3416" si="222">(K3414+L3414)+((J3414-(K3414+L3414))*M3414)</f>
        <v>219.04408231027995</v>
      </c>
      <c r="P3414" s="8"/>
      <c r="Q3414" s="8"/>
      <c r="R3414" s="8"/>
      <c r="S3414" s="8"/>
      <c r="T3414" s="8"/>
      <c r="U3414" s="8"/>
    </row>
    <row r="3415" spans="2:21" x14ac:dyDescent="0.35">
      <c r="D3415" s="15">
        <f t="shared" si="219"/>
        <v>20</v>
      </c>
      <c r="E3415">
        <f>E3414</f>
        <v>0</v>
      </c>
      <c r="F3415" s="423">
        <f>D3395</f>
        <v>2</v>
      </c>
      <c r="G3415" s="12">
        <f>G3414</f>
        <v>11</v>
      </c>
      <c r="H3415" s="13">
        <f t="shared" si="220"/>
        <v>198</v>
      </c>
      <c r="J3415" s="335">
        <f t="shared" si="221"/>
        <v>198</v>
      </c>
      <c r="K3415" s="13">
        <f>K3414</f>
        <v>219.91786447638603</v>
      </c>
      <c r="L3415" s="423">
        <f>D3395</f>
        <v>2</v>
      </c>
      <c r="M3415" s="12">
        <f>M3414</f>
        <v>-10.638297872340425</v>
      </c>
      <c r="N3415" s="15">
        <f t="shared" si="222"/>
        <v>476.36323124645014</v>
      </c>
      <c r="P3415" s="8"/>
      <c r="Q3415" s="8"/>
      <c r="R3415" s="8"/>
      <c r="S3415" s="8"/>
      <c r="T3415" s="8"/>
      <c r="U3415" s="8"/>
    </row>
    <row r="3416" spans="2:21" x14ac:dyDescent="0.35">
      <c r="D3416" s="15">
        <f t="shared" si="219"/>
        <v>20</v>
      </c>
      <c r="E3416">
        <f>E3415</f>
        <v>0</v>
      </c>
      <c r="F3416" s="423">
        <f>-D3395</f>
        <v>-2</v>
      </c>
      <c r="G3416" s="12">
        <f>G3415</f>
        <v>11</v>
      </c>
      <c r="H3416" s="13">
        <f t="shared" si="220"/>
        <v>242</v>
      </c>
      <c r="J3416" s="335">
        <f t="shared" si="221"/>
        <v>242</v>
      </c>
      <c r="K3416" s="13">
        <f>K3415</f>
        <v>219.91786447638603</v>
      </c>
      <c r="L3416" s="423">
        <f>-D3395</f>
        <v>-2</v>
      </c>
      <c r="M3416" s="12">
        <f>M3415</f>
        <v>-10.638297872340425</v>
      </c>
      <c r="N3416" s="15">
        <f t="shared" si="222"/>
        <v>-38.275066625890275</v>
      </c>
      <c r="P3416" s="8"/>
      <c r="Q3416" s="8"/>
      <c r="R3416" s="8"/>
      <c r="S3416" s="8"/>
      <c r="T3416" s="8"/>
      <c r="U3416" s="8"/>
    </row>
    <row r="3417" spans="2:21" x14ac:dyDescent="0.35">
      <c r="D3417" s="15"/>
      <c r="F3417" s="13"/>
      <c r="G3417" s="12"/>
      <c r="H3417" s="13"/>
      <c r="J3417" s="335"/>
      <c r="K3417" s="13"/>
      <c r="M3417" s="12"/>
      <c r="N3417" s="15"/>
      <c r="P3417" s="8"/>
      <c r="Q3417" s="8"/>
      <c r="R3417" s="8"/>
      <c r="S3417" s="8"/>
      <c r="T3417" s="8"/>
      <c r="U3417" s="8"/>
    </row>
    <row r="3418" spans="2:21" x14ac:dyDescent="0.35">
      <c r="D3418" s="642">
        <v>10</v>
      </c>
      <c r="E3418" s="95">
        <f>E3413</f>
        <v>0</v>
      </c>
      <c r="F3418" s="13">
        <f>F3413</f>
        <v>-2</v>
      </c>
      <c r="G3418" s="419">
        <f>G3413</f>
        <v>11</v>
      </c>
      <c r="H3418" s="13">
        <f t="shared" ref="H3418:H3421" si="223">(D3418-(E3418+F3418))+((D3418-(E3418+F3418))*(G3418-1))</f>
        <v>132</v>
      </c>
      <c r="J3418" s="335">
        <f>H3418</f>
        <v>132</v>
      </c>
      <c r="K3418" s="423">
        <f>K3413</f>
        <v>219.91786447638603</v>
      </c>
      <c r="L3418">
        <f>L3413</f>
        <v>2</v>
      </c>
      <c r="M3418" s="419">
        <f>M3413</f>
        <v>-10.638297872340425</v>
      </c>
      <c r="N3418" s="15">
        <f t="shared" ref="N3418:N3421" si="224">(K3418+L3418)+((J3418-(K3418+L3418))*M3418)</f>
        <v>1178.4908908209181</v>
      </c>
      <c r="P3418" s="8"/>
      <c r="Q3418" s="8"/>
      <c r="R3418" s="8"/>
      <c r="S3418" s="8"/>
      <c r="T3418" s="8"/>
      <c r="U3418" s="8"/>
    </row>
    <row r="3419" spans="2:21" x14ac:dyDescent="0.35">
      <c r="D3419" s="15">
        <f t="shared" ref="D3419:D3421" si="225">D3418</f>
        <v>10</v>
      </c>
      <c r="E3419">
        <f>E3418</f>
        <v>0</v>
      </c>
      <c r="F3419" s="13">
        <f t="shared" ref="F3419:F3421" si="226">F3414</f>
        <v>0</v>
      </c>
      <c r="G3419" s="12">
        <f>G3418</f>
        <v>11</v>
      </c>
      <c r="H3419" s="13">
        <f t="shared" si="223"/>
        <v>110</v>
      </c>
      <c r="J3419" s="335">
        <f t="shared" ref="J3419:J3421" si="227">H3419</f>
        <v>110</v>
      </c>
      <c r="K3419" s="13">
        <f>K3418</f>
        <v>219.91786447638603</v>
      </c>
      <c r="L3419">
        <f t="shared" ref="L3419:L3421" si="228">L3414</f>
        <v>0</v>
      </c>
      <c r="M3419" s="12">
        <f>M3418</f>
        <v>-10.638297872340425</v>
      </c>
      <c r="N3419" s="15">
        <f t="shared" si="224"/>
        <v>1389.2568482677268</v>
      </c>
      <c r="P3419" s="8"/>
      <c r="Q3419" s="8"/>
      <c r="R3419" s="8"/>
      <c r="S3419" s="8"/>
      <c r="T3419" s="8"/>
      <c r="U3419" s="8"/>
    </row>
    <row r="3420" spans="2:21" x14ac:dyDescent="0.35">
      <c r="D3420" s="15">
        <f t="shared" si="225"/>
        <v>10</v>
      </c>
      <c r="E3420">
        <f>E3419</f>
        <v>0</v>
      </c>
      <c r="F3420" s="13">
        <f t="shared" si="226"/>
        <v>2</v>
      </c>
      <c r="G3420" s="12">
        <f>G3419</f>
        <v>11</v>
      </c>
      <c r="H3420" s="13">
        <f t="shared" si="223"/>
        <v>88</v>
      </c>
      <c r="J3420" s="335">
        <f t="shared" si="227"/>
        <v>88</v>
      </c>
      <c r="K3420" s="13">
        <f>K3419</f>
        <v>219.91786447638603</v>
      </c>
      <c r="L3420">
        <f t="shared" si="228"/>
        <v>2</v>
      </c>
      <c r="M3420" s="12">
        <f>M3419</f>
        <v>-10.638297872340425</v>
      </c>
      <c r="N3420" s="15">
        <f t="shared" si="224"/>
        <v>1646.575997203897</v>
      </c>
      <c r="P3420" s="8"/>
      <c r="Q3420" s="8"/>
      <c r="R3420" s="8"/>
      <c r="S3420" s="8"/>
      <c r="T3420" s="8"/>
      <c r="U3420" s="8"/>
    </row>
    <row r="3421" spans="2:21" x14ac:dyDescent="0.35">
      <c r="D3421" s="15">
        <f t="shared" si="225"/>
        <v>10</v>
      </c>
      <c r="E3421">
        <f>E3420</f>
        <v>0</v>
      </c>
      <c r="F3421" s="13">
        <f t="shared" si="226"/>
        <v>-2</v>
      </c>
      <c r="G3421" s="12">
        <f>G3420</f>
        <v>11</v>
      </c>
      <c r="H3421" s="13">
        <f t="shared" si="223"/>
        <v>132</v>
      </c>
      <c r="J3421" s="335">
        <f t="shared" si="227"/>
        <v>132</v>
      </c>
      <c r="K3421" s="13">
        <f>K3420</f>
        <v>219.91786447638603</v>
      </c>
      <c r="L3421">
        <f t="shared" si="228"/>
        <v>-2</v>
      </c>
      <c r="M3421" s="12">
        <f>M3420</f>
        <v>-10.638297872340425</v>
      </c>
      <c r="N3421" s="15">
        <f t="shared" si="224"/>
        <v>1131.9376993315566</v>
      </c>
      <c r="P3421" s="8"/>
      <c r="Q3421" s="8"/>
      <c r="R3421" s="8"/>
      <c r="S3421" s="8"/>
      <c r="T3421" s="8"/>
      <c r="U3421" s="8"/>
    </row>
    <row r="3422" spans="2:21" x14ac:dyDescent="0.35">
      <c r="D3422" s="15"/>
      <c r="F3422" s="13"/>
      <c r="G3422" s="12"/>
      <c r="H3422" s="13"/>
      <c r="J3422" s="335"/>
      <c r="K3422" s="13"/>
      <c r="M3422" s="12"/>
      <c r="N3422" s="15"/>
      <c r="P3422" s="8"/>
      <c r="Q3422" s="8"/>
      <c r="R3422" s="8"/>
      <c r="S3422" s="8"/>
      <c r="T3422" s="8"/>
      <c r="U3422" s="8"/>
    </row>
    <row r="3423" spans="2:21" x14ac:dyDescent="0.35">
      <c r="D3423" s="287">
        <f>D3396</f>
        <v>-2</v>
      </c>
      <c r="E3423" s="95">
        <f>E3413</f>
        <v>0</v>
      </c>
      <c r="F3423" s="13">
        <f>F3413</f>
        <v>-2</v>
      </c>
      <c r="G3423" s="419">
        <f>G3413</f>
        <v>11</v>
      </c>
      <c r="H3423" s="13">
        <f t="shared" ref="H3423:H3427" si="229">(D3423-(E3423+F3423))+((D3423-(E3423+F3423))*(G3423-1))</f>
        <v>0</v>
      </c>
      <c r="J3423" s="335">
        <f>H3423</f>
        <v>0</v>
      </c>
      <c r="K3423" s="423">
        <f>K3413</f>
        <v>219.91786447638603</v>
      </c>
      <c r="L3423">
        <f>L3413</f>
        <v>2</v>
      </c>
      <c r="M3423" s="419">
        <f>M3413</f>
        <v>-10.638297872340425</v>
      </c>
      <c r="N3423" s="15">
        <f t="shared" ref="N3423:N3427" si="230">(K3423+L3423)+((J3423-(K3423+L3423))*M3423)</f>
        <v>2582.7462099698546</v>
      </c>
      <c r="P3423" s="8"/>
      <c r="Q3423" s="8"/>
      <c r="R3423" s="8"/>
      <c r="S3423" s="8"/>
      <c r="T3423" s="8"/>
      <c r="U3423" s="8"/>
    </row>
    <row r="3424" spans="2:21" x14ac:dyDescent="0.35">
      <c r="D3424" s="15">
        <f>D3423</f>
        <v>-2</v>
      </c>
      <c r="E3424">
        <f>E3422</f>
        <v>0</v>
      </c>
      <c r="F3424" s="13">
        <f>F3420</f>
        <v>2</v>
      </c>
      <c r="G3424" s="12">
        <f>G3423</f>
        <v>11</v>
      </c>
      <c r="H3424" s="13">
        <f t="shared" si="229"/>
        <v>-44</v>
      </c>
      <c r="J3424" s="335">
        <f t="shared" ref="J3424:J3427" si="231">H3424</f>
        <v>-44</v>
      </c>
      <c r="K3424" s="13">
        <f>K3423</f>
        <v>219.91786447638603</v>
      </c>
      <c r="L3424">
        <v>2</v>
      </c>
      <c r="M3424" s="12">
        <f>M3423</f>
        <v>-10.638297872340425</v>
      </c>
      <c r="N3424" s="15">
        <f t="shared" si="230"/>
        <v>3050.8313163528333</v>
      </c>
      <c r="P3424" s="8"/>
      <c r="Q3424" s="8"/>
      <c r="R3424" s="8"/>
      <c r="S3424" s="8"/>
      <c r="T3424" s="8"/>
      <c r="U3424" s="8"/>
    </row>
    <row r="3425" spans="1:37" x14ac:dyDescent="0.35">
      <c r="D3425" s="15">
        <f>D3423</f>
        <v>-2</v>
      </c>
      <c r="E3425">
        <f>E3423</f>
        <v>0</v>
      </c>
      <c r="F3425" s="13">
        <f>F3414</f>
        <v>0</v>
      </c>
      <c r="G3425" s="12">
        <f>G3423</f>
        <v>11</v>
      </c>
      <c r="H3425" s="13">
        <f t="shared" si="229"/>
        <v>-22</v>
      </c>
      <c r="J3425" s="335">
        <f t="shared" si="231"/>
        <v>-22</v>
      </c>
      <c r="K3425" s="13">
        <f>K3423</f>
        <v>219.91786447638603</v>
      </c>
      <c r="L3425">
        <f>L3414</f>
        <v>0</v>
      </c>
      <c r="M3425" s="12">
        <f>M3423</f>
        <v>-10.638297872340425</v>
      </c>
      <c r="N3425" s="15">
        <f t="shared" si="230"/>
        <v>2793.512167416663</v>
      </c>
      <c r="P3425" s="8"/>
      <c r="Q3425" s="8"/>
      <c r="R3425" s="8"/>
      <c r="S3425" s="8"/>
      <c r="T3425" s="8"/>
      <c r="U3425" s="8"/>
    </row>
    <row r="3426" spans="1:37" x14ac:dyDescent="0.35">
      <c r="D3426" s="15">
        <f t="shared" ref="D3426:D3427" si="232">D3425</f>
        <v>-2</v>
      </c>
      <c r="E3426">
        <f>E3425</f>
        <v>0</v>
      </c>
      <c r="F3426" s="13">
        <f>F3415</f>
        <v>2</v>
      </c>
      <c r="G3426" s="12">
        <f>G3425</f>
        <v>11</v>
      </c>
      <c r="H3426" s="13">
        <f t="shared" si="229"/>
        <v>-44</v>
      </c>
      <c r="J3426" s="335">
        <f t="shared" si="231"/>
        <v>-44</v>
      </c>
      <c r="K3426" s="13">
        <f>K3425</f>
        <v>219.91786447638603</v>
      </c>
      <c r="L3426">
        <f>L3415</f>
        <v>2</v>
      </c>
      <c r="M3426" s="12">
        <f>M3425</f>
        <v>-10.638297872340425</v>
      </c>
      <c r="N3426" s="15">
        <f t="shared" si="230"/>
        <v>3050.8313163528333</v>
      </c>
      <c r="P3426" s="8"/>
      <c r="Q3426" s="8"/>
      <c r="R3426" s="8"/>
      <c r="S3426" s="8"/>
      <c r="T3426" s="8"/>
      <c r="U3426" s="8"/>
    </row>
    <row r="3427" spans="1:37" x14ac:dyDescent="0.35">
      <c r="D3427" s="15">
        <f t="shared" si="232"/>
        <v>-2</v>
      </c>
      <c r="E3427">
        <f>E3426</f>
        <v>0</v>
      </c>
      <c r="F3427" s="13">
        <f>F3416</f>
        <v>-2</v>
      </c>
      <c r="G3427" s="12">
        <f>G3426</f>
        <v>11</v>
      </c>
      <c r="H3427" s="13">
        <f t="shared" si="229"/>
        <v>0</v>
      </c>
      <c r="J3427" s="335">
        <f t="shared" si="231"/>
        <v>0</v>
      </c>
      <c r="K3427" s="13">
        <f>K3426</f>
        <v>219.91786447638603</v>
      </c>
      <c r="L3427">
        <f>L3416</f>
        <v>-2</v>
      </c>
      <c r="M3427" s="12">
        <f>M3426</f>
        <v>-10.638297872340425</v>
      </c>
      <c r="N3427" s="15">
        <f t="shared" si="230"/>
        <v>2536.1930184804928</v>
      </c>
      <c r="P3427" s="8"/>
      <c r="Q3427" s="8"/>
      <c r="R3427" s="8"/>
      <c r="S3427" s="8"/>
      <c r="T3427" s="8"/>
      <c r="U3427" s="8"/>
    </row>
    <row r="3428" spans="1:37" x14ac:dyDescent="0.35">
      <c r="G3428" s="12"/>
      <c r="H3428" s="13"/>
      <c r="J3428" s="335"/>
      <c r="K3428" s="13"/>
      <c r="M3428" s="12"/>
      <c r="N3428" s="15"/>
      <c r="P3428" s="335"/>
      <c r="Q3428" s="13"/>
      <c r="S3428" s="13"/>
      <c r="T3428" s="15"/>
      <c r="U3428" s="170"/>
    </row>
    <row r="3429" spans="1:37" x14ac:dyDescent="0.35">
      <c r="B3429" s="83" t="s">
        <v>2662</v>
      </c>
      <c r="F3429" s="155"/>
      <c r="G3429" s="155"/>
      <c r="H3429" s="155"/>
      <c r="I3429" s="841" t="s">
        <v>7626</v>
      </c>
      <c r="J3429" s="842" t="s">
        <v>7627</v>
      </c>
      <c r="K3429" s="842"/>
      <c r="L3429" s="843"/>
      <c r="Q3429" s="295"/>
      <c r="R3429" s="295"/>
      <c r="T3429" s="295"/>
      <c r="U3429" s="1"/>
      <c r="W3429" s="313"/>
      <c r="X3429" s="1"/>
    </row>
    <row r="3430" spans="1:37" ht="38" customHeight="1" x14ac:dyDescent="0.35">
      <c r="D3430" s="214" t="s">
        <v>7630</v>
      </c>
      <c r="F3430" s="214" t="s">
        <v>7622</v>
      </c>
      <c r="G3430" s="214" t="s">
        <v>7623</v>
      </c>
      <c r="I3430" s="214" t="s">
        <v>7620</v>
      </c>
      <c r="J3430" s="214" t="s">
        <v>7621</v>
      </c>
      <c r="L3430" s="214" t="s">
        <v>7629</v>
      </c>
      <c r="M3430" s="155"/>
      <c r="N3430" s="214" t="s">
        <v>5777</v>
      </c>
      <c r="Q3430" s="295"/>
      <c r="R3430" s="295"/>
      <c r="T3430" s="295"/>
      <c r="U3430" s="1"/>
      <c r="W3430" s="313"/>
      <c r="X3430" s="1"/>
    </row>
    <row r="3431" spans="1:37" x14ac:dyDescent="0.35">
      <c r="D3431" t="s">
        <v>7631</v>
      </c>
      <c r="F3431" s="295" t="s">
        <v>7644</v>
      </c>
      <c r="G3431" s="295" t="s">
        <v>7624</v>
      </c>
      <c r="H3431" s="143"/>
      <c r="I3431" s="318" t="s">
        <v>4726</v>
      </c>
      <c r="J3431" s="155">
        <v>4.0999999999999996</v>
      </c>
      <c r="K3431" s="155"/>
      <c r="M3431" s="155"/>
      <c r="N3431" t="s">
        <v>7801</v>
      </c>
      <c r="Q3431" s="295"/>
      <c r="R3431" s="295"/>
      <c r="T3431" s="295"/>
      <c r="U3431" s="1"/>
      <c r="W3431" s="313"/>
      <c r="X3431" s="1"/>
    </row>
    <row r="3432" spans="1:37" x14ac:dyDescent="0.35">
      <c r="D3432" t="s">
        <v>7632</v>
      </c>
      <c r="F3432" s="295" t="s">
        <v>4093</v>
      </c>
      <c r="G3432" s="295" t="s">
        <v>7625</v>
      </c>
      <c r="H3432" s="201"/>
      <c r="I3432" s="155"/>
      <c r="J3432" s="155"/>
      <c r="L3432" s="318" t="s">
        <v>3656</v>
      </c>
      <c r="N3432" s="295" t="s">
        <v>7628</v>
      </c>
      <c r="Q3432" s="295"/>
      <c r="R3432" s="295"/>
      <c r="T3432" s="295"/>
      <c r="U3432" s="1"/>
      <c r="W3432" s="313"/>
      <c r="X3432" s="1"/>
    </row>
    <row r="3433" spans="1:37" x14ac:dyDescent="0.35">
      <c r="F3433" s="295"/>
      <c r="G3433" s="295"/>
      <c r="H3433" s="201"/>
      <c r="I3433" s="155"/>
      <c r="J3433" s="155"/>
      <c r="L3433" s="155"/>
      <c r="N3433" s="295"/>
      <c r="Q3433" s="295"/>
      <c r="R3433" s="295"/>
      <c r="T3433" s="295"/>
      <c r="U3433" s="1"/>
      <c r="W3433" s="313"/>
      <c r="X3433" s="1"/>
    </row>
    <row r="3434" spans="1:37" s="5" customFormat="1" x14ac:dyDescent="0.35">
      <c r="A3434" s="86" t="s">
        <v>7800</v>
      </c>
    </row>
    <row r="3435" spans="1:37" x14ac:dyDescent="0.35">
      <c r="C3435" s="806" t="s">
        <v>7494</v>
      </c>
      <c r="D3435" s="316">
        <v>1</v>
      </c>
      <c r="S3435" s="666" t="s">
        <v>6536</v>
      </c>
      <c r="T3435" s="4"/>
      <c r="AG3435" s="205"/>
      <c r="AH3435" s="205"/>
      <c r="AI3435" s="667" t="s">
        <v>6537</v>
      </c>
      <c r="AJ3435" s="205"/>
      <c r="AK3435" s="205"/>
    </row>
    <row r="3436" spans="1:37" ht="37" customHeight="1" x14ac:dyDescent="0.35">
      <c r="B3436" s="83" t="s">
        <v>6541</v>
      </c>
      <c r="D3436" s="123" t="s">
        <v>6530</v>
      </c>
      <c r="E3436" s="123" t="s">
        <v>8015</v>
      </c>
      <c r="F3436" s="123" t="s">
        <v>7659</v>
      </c>
      <c r="G3436" s="123" t="s">
        <v>7659</v>
      </c>
      <c r="I3436" s="123" t="s">
        <v>2521</v>
      </c>
      <c r="J3436" s="123" t="s">
        <v>7687</v>
      </c>
      <c r="K3436" s="123" t="s">
        <v>8014</v>
      </c>
      <c r="N3436" s="123" t="s">
        <v>8013</v>
      </c>
      <c r="O3436" s="123" t="s">
        <v>8188</v>
      </c>
      <c r="P3436" s="123" t="s">
        <v>6531</v>
      </c>
      <c r="Q3436" s="123" t="s">
        <v>6532</v>
      </c>
      <c r="S3436" s="307" t="s">
        <v>6534</v>
      </c>
      <c r="T3436" s="307" t="s">
        <v>7660</v>
      </c>
      <c r="V3436" s="123" t="s">
        <v>7493</v>
      </c>
      <c r="W3436" s="123" t="s">
        <v>7690</v>
      </c>
      <c r="Y3436" s="123" t="s">
        <v>6533</v>
      </c>
      <c r="Z3436" s="123" t="s">
        <v>6538</v>
      </c>
      <c r="AA3436" s="123" t="s">
        <v>6539</v>
      </c>
      <c r="AB3436" s="123" t="s">
        <v>6540</v>
      </c>
      <c r="AD3436" s="307" t="s">
        <v>7662</v>
      </c>
      <c r="AE3436" s="307" t="s">
        <v>7661</v>
      </c>
      <c r="AG3436" s="123" t="s">
        <v>3052</v>
      </c>
      <c r="AH3436" s="123" t="s">
        <v>6535</v>
      </c>
      <c r="AI3436" s="123" t="s">
        <v>7687</v>
      </c>
      <c r="AJ3436" s="123" t="s">
        <v>7689</v>
      </c>
      <c r="AK3436" s="123" t="s">
        <v>7688</v>
      </c>
    </row>
    <row r="3437" spans="1:37" x14ac:dyDescent="0.35">
      <c r="D3437" s="639">
        <v>150000</v>
      </c>
      <c r="F3437" s="642">
        <v>-8</v>
      </c>
      <c r="G3437" s="171">
        <v>400</v>
      </c>
      <c r="N3437" s="807">
        <v>22000000</v>
      </c>
      <c r="O3437">
        <f>MAX(ABS(F3437), ABS(G3437))</f>
        <v>400</v>
      </c>
      <c r="P3437" s="10">
        <f>1000*O3437/N3437</f>
        <v>1.8181818181818181E-2</v>
      </c>
      <c r="Q3437" s="13">
        <f>O3437*P3437</f>
        <v>7.2727272727272725</v>
      </c>
      <c r="S3437" s="12">
        <f>(AA3437*D$3475)-(AD3437*0.000001*D3437*D$3476)</f>
        <v>2.9167900341683444</v>
      </c>
      <c r="T3437" s="12">
        <f>(AB3437*D$3476)-(AE3437*0.000001*D3437*D$3475)</f>
        <v>3.5796592941768957E-2</v>
      </c>
      <c r="V3437" s="13">
        <f>1/W3437</f>
        <v>146.66666666666669</v>
      </c>
      <c r="W3437" s="10">
        <f>D3437/N3437</f>
        <v>6.8181818181818179E-3</v>
      </c>
      <c r="Y3437" s="852">
        <f>F3167</f>
        <v>2.8109028960817715</v>
      </c>
      <c r="Z3437" s="89">
        <f>D3473</f>
        <v>2E-3</v>
      </c>
      <c r="AA3437" s="11">
        <f>Y3437-Z3437</f>
        <v>2.8089028960817717</v>
      </c>
      <c r="AB3437" s="11">
        <f>Y3437+Z3437</f>
        <v>2.8129028960817712</v>
      </c>
      <c r="AD3437" s="413">
        <f>1000000*(F3437-AA3437)/N3437</f>
        <v>-0.4913137680037169</v>
      </c>
      <c r="AE3437" s="12">
        <f>1000000*(G3437-AB3437)/N3437</f>
        <v>18.053958959269011</v>
      </c>
      <c r="AG3437" s="171">
        <v>20</v>
      </c>
      <c r="AH3437" s="867">
        <f>AG3437*D3437*0.000001</f>
        <v>3</v>
      </c>
      <c r="AI3437" s="15">
        <f>AH3437/W3437</f>
        <v>440</v>
      </c>
      <c r="AJ3437" s="167">
        <f>AI3437*0.001/G3437</f>
        <v>1.1000000000000001E-3</v>
      </c>
      <c r="AK3437" s="20">
        <f>1/AJ3437</f>
        <v>909.09090909090901</v>
      </c>
    </row>
    <row r="3438" spans="1:37" x14ac:dyDescent="0.35">
      <c r="D3438" s="791"/>
      <c r="F3438" s="901"/>
      <c r="G3438" s="791"/>
      <c r="N3438" s="791"/>
      <c r="Q3438" s="13"/>
      <c r="V3438" s="13"/>
      <c r="Y3438" s="794"/>
      <c r="Z3438" s="791"/>
      <c r="AA3438" s="11"/>
      <c r="AB3438" s="11"/>
      <c r="AG3438" s="791"/>
      <c r="AH3438" s="13"/>
      <c r="AI3438" s="15"/>
    </row>
    <row r="3439" spans="1:37" x14ac:dyDescent="0.35">
      <c r="D3439" s="639">
        <v>30000</v>
      </c>
      <c r="E3439" s="295" t="s">
        <v>8144</v>
      </c>
      <c r="F3439" s="642">
        <v>-20</v>
      </c>
      <c r="G3439" s="171">
        <v>400</v>
      </c>
      <c r="I3439" s="865" t="s">
        <v>7686</v>
      </c>
      <c r="J3439" s="13">
        <f>AI3439</f>
        <v>120</v>
      </c>
      <c r="K3439" s="295" t="s">
        <v>8019</v>
      </c>
      <c r="N3439" s="639">
        <f>(1000000*6)/D3435</f>
        <v>6000000</v>
      </c>
      <c r="O3439">
        <f t="shared" ref="O3439:O3461" si="233">MAX(ABS(F3439), ABS(G3439))</f>
        <v>400</v>
      </c>
      <c r="P3439" s="10">
        <f t="shared" ref="P3439:P3440" si="234">1000*O3439/N3439</f>
        <v>6.6666666666666666E-2</v>
      </c>
      <c r="Q3439" s="13">
        <f t="shared" ref="Q3439:Q3440" si="235">O3439*P3439</f>
        <v>26.666666666666668</v>
      </c>
      <c r="S3439" s="12">
        <f>(AA3439*D$3475)-(AD3439*0.000001*D3439*D$3476)</f>
        <v>2.9566331403321975</v>
      </c>
      <c r="T3439" s="12">
        <f>(AB3439*D$3476)-(AE3439*0.000001*D3439*D$3475)</f>
        <v>0.76698193079216326</v>
      </c>
      <c r="V3439" s="13">
        <f t="shared" ref="V3439:V3455" si="236">1/W3439</f>
        <v>200</v>
      </c>
      <c r="W3439" s="10">
        <f>D3439/N3439</f>
        <v>5.0000000000000001E-3</v>
      </c>
      <c r="Y3439" s="852">
        <f>Y$3437</f>
        <v>2.8109028960817715</v>
      </c>
      <c r="Z3439" s="89">
        <f>D3473</f>
        <v>2E-3</v>
      </c>
      <c r="AA3439" s="11">
        <f>Y3439-Z3439</f>
        <v>2.8089028960817717</v>
      </c>
      <c r="AB3439" s="11">
        <f>Y3439+Z3439</f>
        <v>2.8129028960817712</v>
      </c>
      <c r="AD3439" s="413">
        <f>1000000*(F3439-AA3439)/N3439</f>
        <v>-3.8014838160136288</v>
      </c>
      <c r="AE3439" s="12">
        <f>1000000*(G3439-AB3439)/N3439</f>
        <v>66.19784951731971</v>
      </c>
      <c r="AG3439" s="95">
        <f>AG$3437</f>
        <v>20</v>
      </c>
      <c r="AH3439" s="13">
        <f>AG3439*D3439*0.000001</f>
        <v>0.6</v>
      </c>
      <c r="AI3439" s="15">
        <f t="shared" ref="AI3439:AI3455" si="237">AH3439/W3439</f>
        <v>120</v>
      </c>
      <c r="AJ3439" s="167">
        <f>AI3439*0.001/G3439</f>
        <v>2.9999999999999997E-4</v>
      </c>
      <c r="AK3439" s="20">
        <f t="shared" ref="AK3439:AK3455" si="238">1/AJ3439</f>
        <v>3333.3333333333335</v>
      </c>
    </row>
    <row r="3440" spans="1:37" x14ac:dyDescent="0.35">
      <c r="D3440" s="629">
        <f t="shared" ref="D3440:D3461" si="239">D$3439</f>
        <v>30000</v>
      </c>
      <c r="E3440" t="s">
        <v>7628</v>
      </c>
      <c r="F3440" s="642">
        <v>-400</v>
      </c>
      <c r="G3440" s="171">
        <v>20</v>
      </c>
      <c r="I3440" s="295" t="str">
        <f>I$3439</f>
        <v>20nA NLAST spdt &amp; 8:1 mux (10nA max leakage @ 75C)</v>
      </c>
      <c r="J3440" s="13">
        <f>AI3440</f>
        <v>120</v>
      </c>
      <c r="K3440" s="295" t="s">
        <v>7628</v>
      </c>
      <c r="N3440" s="808">
        <f>N3439</f>
        <v>6000000</v>
      </c>
      <c r="O3440">
        <f t="shared" si="233"/>
        <v>400</v>
      </c>
      <c r="P3440" s="10">
        <f t="shared" si="234"/>
        <v>6.6666666666666666E-2</v>
      </c>
      <c r="Q3440" s="13">
        <f t="shared" si="235"/>
        <v>26.666666666666668</v>
      </c>
      <c r="S3440" s="12">
        <f>(AA3440*D$3475)-(AD3440*0.000001*D3440*D$3476)</f>
        <v>2.1968112500000001</v>
      </c>
      <c r="T3440" s="12">
        <f>(AB3440*D$3476)-(AE3440*0.000001*D3440*D$3475)</f>
        <v>0.11909887500000002</v>
      </c>
      <c r="V3440" s="13">
        <f t="shared" ref="V3440" si="240">1/W3440</f>
        <v>200</v>
      </c>
      <c r="W3440" s="10">
        <f>D3440/N3440</f>
        <v>5.0000000000000001E-3</v>
      </c>
      <c r="Y3440" s="852">
        <v>0.22</v>
      </c>
      <c r="Z3440" s="89">
        <f>Z$3439</f>
        <v>2E-3</v>
      </c>
      <c r="AA3440" s="11">
        <f t="shared" ref="AA3440" si="241">Y3440-Z3440</f>
        <v>0.218</v>
      </c>
      <c r="AB3440" s="11">
        <f t="shared" ref="AB3440" si="242">Y3440+Z3440</f>
        <v>0.222</v>
      </c>
      <c r="AD3440" s="413">
        <f>1000000*(F3440-Y3440)/N3440</f>
        <v>-66.703333333333333</v>
      </c>
      <c r="AE3440" s="12">
        <f>1000000*(G3440-AB3440)/N3440</f>
        <v>3.2963333333333331</v>
      </c>
      <c r="AG3440" s="95">
        <f>AG$3437</f>
        <v>20</v>
      </c>
      <c r="AH3440" s="13">
        <f>AG3440*D3440*0.000001</f>
        <v>0.6</v>
      </c>
      <c r="AI3440" s="15">
        <f t="shared" ref="AI3440" si="243">AH3440/W3440</f>
        <v>120</v>
      </c>
      <c r="AJ3440" s="167">
        <f>AI3440*0.001/G3440</f>
        <v>6.0000000000000001E-3</v>
      </c>
      <c r="AK3440" s="20">
        <f t="shared" ref="AK3440" si="244">1/AJ3440</f>
        <v>166.66666666666666</v>
      </c>
    </row>
    <row r="3441" spans="4:37" x14ac:dyDescent="0.35">
      <c r="D3441" s="639"/>
      <c r="E3441" s="295"/>
      <c r="F3441" s="642"/>
      <c r="G3441" s="171"/>
      <c r="I3441" s="865"/>
      <c r="J3441" s="13"/>
      <c r="K3441" s="295"/>
      <c r="N3441" s="639"/>
      <c r="P3441" s="10"/>
      <c r="Q3441" s="13"/>
      <c r="S3441" s="12"/>
      <c r="T3441" s="12"/>
      <c r="V3441" s="13"/>
      <c r="W3441" s="10"/>
      <c r="Y3441" s="460"/>
      <c r="Z3441" s="89"/>
      <c r="AA3441" s="11"/>
      <c r="AB3441" s="11"/>
      <c r="AD3441" s="413"/>
      <c r="AE3441" s="12"/>
      <c r="AG3441" s="95"/>
      <c r="AH3441" s="13"/>
      <c r="AI3441" s="15"/>
      <c r="AJ3441" s="167"/>
      <c r="AK3441" s="20"/>
    </row>
    <row r="3442" spans="4:37" x14ac:dyDescent="0.35">
      <c r="D3442" s="629">
        <f t="shared" si="239"/>
        <v>30000</v>
      </c>
      <c r="E3442" t="s">
        <v>7628</v>
      </c>
      <c r="F3442" s="642">
        <v>-5</v>
      </c>
      <c r="G3442" s="171">
        <v>68</v>
      </c>
      <c r="I3442" s="295" t="str">
        <f>I$3439</f>
        <v>20nA NLAST spdt &amp; 8:1 mux (10nA max leakage @ 75C)</v>
      </c>
      <c r="J3442" s="13">
        <f>AI3442</f>
        <v>20</v>
      </c>
      <c r="K3442" s="295" t="str">
        <f>X1911</f>
        <v>ResTF: ?Ω 150V 0.5% .12W 25ppm 1206 $.013</v>
      </c>
      <c r="N3442" s="639">
        <f>1000000/D$3435</f>
        <v>1000000</v>
      </c>
      <c r="O3442">
        <f t="shared" ref="O3442" si="245">MAX(ABS(F3442), ABS(G3442))</f>
        <v>68</v>
      </c>
      <c r="P3442" s="10">
        <f t="shared" ref="P3442" si="246">1000*O3442/N3442</f>
        <v>6.8000000000000005E-2</v>
      </c>
      <c r="Q3442" s="13">
        <f t="shared" ref="Q3442" si="247">O3442*P3442</f>
        <v>4.6240000000000006</v>
      </c>
      <c r="S3442" s="12">
        <f>(AA3442*D$3475)-(AD3442*0.000001*D3442*D$3476)</f>
        <v>3.0754121805792161</v>
      </c>
      <c r="T3442" s="12">
        <f>(AB3442*D$3476)-(AE3442*0.000001*D3442*D$3475)</f>
        <v>0.79768353534923286</v>
      </c>
      <c r="V3442" s="13">
        <f t="shared" ref="V3442" si="248">1/W3442</f>
        <v>33.333333333333336</v>
      </c>
      <c r="W3442" s="10">
        <f>D3442/N3442</f>
        <v>0.03</v>
      </c>
      <c r="Y3442" s="852">
        <f>Y$3437</f>
        <v>2.8109028960817715</v>
      </c>
      <c r="Z3442">
        <f>Z$3439</f>
        <v>2E-3</v>
      </c>
      <c r="AA3442" s="11">
        <f t="shared" ref="AA3442" si="249">Y3442-Z3442</f>
        <v>2.8089028960817717</v>
      </c>
      <c r="AB3442" s="11">
        <f t="shared" ref="AB3442" si="250">Y3442+Z3442</f>
        <v>2.8129028960817712</v>
      </c>
      <c r="AD3442" s="413">
        <f>1000000*(F3442-Y3442)/N3442</f>
        <v>-7.810902896081771</v>
      </c>
      <c r="AE3442" s="12">
        <f>1000000*(G3442-AB3442)/N3442</f>
        <v>65.187097103918234</v>
      </c>
      <c r="AG3442" s="95">
        <f>AG$3437</f>
        <v>20</v>
      </c>
      <c r="AH3442" s="13">
        <f>AG3442*D3442*0.000001</f>
        <v>0.6</v>
      </c>
      <c r="AI3442" s="15">
        <f t="shared" ref="AI3442" si="251">AH3442/W3442</f>
        <v>20</v>
      </c>
      <c r="AJ3442" s="167">
        <f>AI3442*0.001/G3442</f>
        <v>2.9411764705882356E-4</v>
      </c>
      <c r="AK3442" s="20">
        <f t="shared" ref="AK3442" si="252">1/AJ3442</f>
        <v>3399.9999999999995</v>
      </c>
    </row>
    <row r="3443" spans="4:37" x14ac:dyDescent="0.35">
      <c r="D3443" s="629">
        <f t="shared" si="239"/>
        <v>30000</v>
      </c>
      <c r="E3443" t="s">
        <v>7628</v>
      </c>
      <c r="F3443" s="642">
        <v>-10</v>
      </c>
      <c r="G3443" s="171">
        <v>10</v>
      </c>
      <c r="I3443" s="295" t="str">
        <f>I$3439</f>
        <v>20nA NLAST spdt &amp; 8:1 mux (10nA max leakage @ 75C)</v>
      </c>
      <c r="J3443" s="13">
        <f>AI3443</f>
        <v>4.4000000000000004</v>
      </c>
      <c r="K3443" s="295" t="str">
        <f>X1869</f>
        <v>ResTF: ?Ω 75V 0.5% .06W 25ppm 0603 $.01</v>
      </c>
      <c r="N3443" s="639">
        <f>220000/D$3435</f>
        <v>220000</v>
      </c>
      <c r="O3443">
        <f t="shared" ref="O3443" si="253">MAX(ABS(F3443), ABS(G3443))</f>
        <v>10</v>
      </c>
      <c r="P3443" s="10">
        <f t="shared" ref="P3443" si="254">1000*O3443/N3443</f>
        <v>4.5454545454545456E-2</v>
      </c>
      <c r="Q3443" s="13">
        <f t="shared" ref="Q3443" si="255">O3443*P3443</f>
        <v>0.45454545454545459</v>
      </c>
      <c r="S3443" s="12">
        <f>(AA3443*D$3475)-(AD3443*0.000001*D3443*D$3476)</f>
        <v>3.114602591178766</v>
      </c>
      <c r="T3443" s="12">
        <f>(AB3443*D$3476)-(AE3443*0.000001*D3443*D$3475)</f>
        <v>0.35829178832349506</v>
      </c>
      <c r="V3443" s="13">
        <f t="shared" ref="V3443" si="256">1/W3443</f>
        <v>7.3333333333333339</v>
      </c>
      <c r="W3443" s="10">
        <f>D3443/N3443</f>
        <v>0.13636363636363635</v>
      </c>
      <c r="Y3443" s="852">
        <f>F3156</f>
        <v>1.5429740269809948</v>
      </c>
      <c r="Z3443">
        <f>Z$3439</f>
        <v>2E-3</v>
      </c>
      <c r="AA3443" s="11">
        <f t="shared" ref="AA3443" si="257">Y3443-Z3443</f>
        <v>1.5409740269809948</v>
      </c>
      <c r="AB3443" s="11">
        <f t="shared" ref="AB3443" si="258">Y3443+Z3443</f>
        <v>1.5449740269809948</v>
      </c>
      <c r="AD3443" s="413">
        <f>1000000*(F3443-Y3443)/N3443</f>
        <v>-52.468063759004522</v>
      </c>
      <c r="AE3443" s="12">
        <f>1000000*(G3443-AB3443)/N3443</f>
        <v>38.431936240995483</v>
      </c>
      <c r="AG3443" s="95">
        <f>AG$3437</f>
        <v>20</v>
      </c>
      <c r="AH3443" s="13">
        <f>AG3443*D3443*0.000001</f>
        <v>0.6</v>
      </c>
      <c r="AI3443" s="15">
        <f t="shared" ref="AI3443" si="259">AH3443/W3443</f>
        <v>4.4000000000000004</v>
      </c>
      <c r="AJ3443" s="167">
        <f>AI3443*0.001/G3443</f>
        <v>4.4000000000000002E-4</v>
      </c>
      <c r="AK3443" s="20">
        <f t="shared" ref="AK3443" si="260">1/AJ3443</f>
        <v>2272.7272727272725</v>
      </c>
    </row>
    <row r="3444" spans="4:37" x14ac:dyDescent="0.35">
      <c r="D3444" s="629">
        <f t="shared" si="239"/>
        <v>30000</v>
      </c>
      <c r="E3444" t="s">
        <v>7628</v>
      </c>
      <c r="F3444" s="642">
        <v>-20</v>
      </c>
      <c r="G3444" s="171">
        <v>20</v>
      </c>
      <c r="I3444" s="295" t="str">
        <f>I$3439</f>
        <v>20nA NLAST spdt &amp; 8:1 mux (10nA max leakage @ 75C)</v>
      </c>
      <c r="J3444" s="13">
        <f>AI3444</f>
        <v>9.4</v>
      </c>
      <c r="K3444" s="295" t="str">
        <f>X1869</f>
        <v>ResTF: ?Ω 75V 0.5% .06W 25ppm 0603 $.01</v>
      </c>
      <c r="N3444" s="639">
        <f>470000/D$3435</f>
        <v>470000</v>
      </c>
      <c r="O3444">
        <f t="shared" ref="O3444" si="261">MAX(ABS(F3444), ABS(G3444))</f>
        <v>20</v>
      </c>
      <c r="P3444" s="10">
        <f t="shared" ref="P3444" si="262">1000*O3444/N3444</f>
        <v>4.2553191489361701E-2</v>
      </c>
      <c r="Q3444" s="13">
        <f t="shared" ref="Q3444" si="263">O3444*P3444</f>
        <v>0.85106382978723405</v>
      </c>
      <c r="S3444" s="12">
        <f>(AA3444*D$3475)-(AD3444*0.000001*D3444*D$3476)</f>
        <v>2.9181311077423255</v>
      </c>
      <c r="T3444" s="12">
        <f>(AB3444*D$3476)-(AE3444*0.000001*D3444*D$3475)</f>
        <v>0.33295671562149387</v>
      </c>
      <c r="V3444" s="13">
        <f t="shared" ref="V3444" si="264">1/W3444</f>
        <v>15.666666666666668</v>
      </c>
      <c r="W3444" s="10">
        <f>D3444/N3444</f>
        <v>6.3829787234042548E-2</v>
      </c>
      <c r="Y3444" s="852">
        <f>F3156</f>
        <v>1.5429740269809948</v>
      </c>
      <c r="Z3444">
        <f>Z$3439</f>
        <v>2E-3</v>
      </c>
      <c r="AA3444" s="11">
        <f t="shared" ref="AA3444" si="265">Y3444-Z3444</f>
        <v>1.5409740269809948</v>
      </c>
      <c r="AB3444" s="11">
        <f t="shared" ref="AB3444" si="266">Y3444+Z3444</f>
        <v>1.5449740269809948</v>
      </c>
      <c r="AD3444" s="413">
        <f>1000000*(F3444-Y3444)/N3444</f>
        <v>-45.836114951023397</v>
      </c>
      <c r="AE3444" s="12">
        <f>1000000*(G3444-AB3444)/N3444</f>
        <v>39.266012708551074</v>
      </c>
      <c r="AG3444" s="95">
        <f>AG$3437</f>
        <v>20</v>
      </c>
      <c r="AH3444" s="13">
        <f>AG3444*D3444*0.000001</f>
        <v>0.6</v>
      </c>
      <c r="AI3444" s="15">
        <f t="shared" ref="AI3444" si="267">AH3444/W3444</f>
        <v>9.4</v>
      </c>
      <c r="AJ3444" s="167">
        <f>AI3444*0.001/G3444</f>
        <v>4.7000000000000004E-4</v>
      </c>
      <c r="AK3444" s="20">
        <f t="shared" ref="AK3444" si="268">1/AJ3444</f>
        <v>2127.6595744680849</v>
      </c>
    </row>
    <row r="3445" spans="4:37" x14ac:dyDescent="0.35">
      <c r="D3445" s="639"/>
      <c r="E3445" s="295"/>
      <c r="F3445" s="719"/>
      <c r="G3445" s="171"/>
      <c r="I3445" s="865"/>
      <c r="J3445" s="13"/>
      <c r="K3445" s="295"/>
      <c r="N3445" s="639"/>
      <c r="P3445" s="10"/>
      <c r="Q3445" s="13"/>
      <c r="S3445" s="12"/>
      <c r="T3445" s="12"/>
      <c r="V3445" s="13"/>
      <c r="W3445" s="10"/>
      <c r="Y3445" s="460"/>
      <c r="Z3445" s="89"/>
      <c r="AA3445" s="11"/>
      <c r="AB3445" s="11"/>
      <c r="AD3445" s="413"/>
      <c r="AE3445" s="12"/>
      <c r="AG3445" s="95"/>
      <c r="AH3445" s="13"/>
      <c r="AI3445" s="15"/>
      <c r="AJ3445" s="167"/>
      <c r="AK3445" s="20"/>
    </row>
    <row r="3446" spans="4:37" x14ac:dyDescent="0.35">
      <c r="D3446" s="629">
        <f t="shared" si="239"/>
        <v>30000</v>
      </c>
      <c r="E3446" t="s">
        <v>7628</v>
      </c>
      <c r="F3446" s="719">
        <v>-10</v>
      </c>
      <c r="G3446" s="171">
        <v>135</v>
      </c>
      <c r="I3446" s="310" t="str">
        <f>I$3450</f>
        <v>1uA VHC4051, no external diode or spdt (1uA max leakage @ 85C)</v>
      </c>
      <c r="J3446" s="13">
        <f t="shared" ref="J3446" si="269">AI3446</f>
        <v>1500</v>
      </c>
      <c r="K3446" s="295" t="s">
        <v>9185</v>
      </c>
      <c r="N3446" s="639">
        <f>1500000</f>
        <v>1500000</v>
      </c>
      <c r="O3446">
        <f t="shared" ref="O3446" si="270">MAX(ABS(F3446), ABS(G3446))</f>
        <v>135</v>
      </c>
      <c r="P3446" s="10">
        <f t="shared" ref="P3446" si="271">1000*O3446/N3446</f>
        <v>0.09</v>
      </c>
      <c r="Q3446" s="13">
        <f t="shared" ref="Q3446" si="272">O3446*P3446</f>
        <v>12.15</v>
      </c>
      <c r="S3446" s="12">
        <f t="shared" ref="S3446" si="273">(AA3446*D$3475)-(AD3446*0.000001*D3446*D$3476)</f>
        <v>3.0970295144804085</v>
      </c>
      <c r="T3446" s="12">
        <f t="shared" ref="T3446" si="274">(AB3446*D$3476)-(AE3446*0.000001*D3446*D$3475)</f>
        <v>0.10095289352640524</v>
      </c>
      <c r="V3446" s="13">
        <f t="shared" ref="V3446" si="275">1/W3446</f>
        <v>50</v>
      </c>
      <c r="W3446" s="10">
        <f t="shared" ref="W3446" si="276">D3446/N3446</f>
        <v>0.02</v>
      </c>
      <c r="Y3446" s="460">
        <f t="shared" ref="Y3446:Y3453" si="277">Y$3437</f>
        <v>2.8109028960817715</v>
      </c>
      <c r="Z3446">
        <f t="shared" ref="Z3446:Z3455" si="278">Z$3439</f>
        <v>2E-3</v>
      </c>
      <c r="AA3446" s="11">
        <f t="shared" ref="AA3446" si="279">Y3446-Z3446</f>
        <v>2.8089028960817717</v>
      </c>
      <c r="AB3446" s="11">
        <f t="shared" ref="AB3446" si="280">Y3446+Z3446</f>
        <v>2.8129028960817712</v>
      </c>
      <c r="AD3446" s="413">
        <f t="shared" ref="AD3446" si="281">1000000*(F3446-Y3446)/N3446</f>
        <v>-8.5406019307211807</v>
      </c>
      <c r="AE3446" s="12">
        <f t="shared" ref="AE3446" si="282">1000000*(G3446-AB3446)/N3446</f>
        <v>88.124731402612156</v>
      </c>
      <c r="AG3446" s="95">
        <f>AG3450</f>
        <v>1000</v>
      </c>
      <c r="AH3446" s="13">
        <f t="shared" ref="AH3446" si="283">AG3446*D3446*0.000001</f>
        <v>30</v>
      </c>
      <c r="AI3446" s="15">
        <f t="shared" ref="AI3446" si="284">AH3446/W3446</f>
        <v>1500</v>
      </c>
      <c r="AJ3446" s="167">
        <f t="shared" ref="AJ3446" si="285">AI3446*0.001/G3446</f>
        <v>1.1111111111111112E-2</v>
      </c>
      <c r="AK3446" s="20">
        <f t="shared" ref="AK3446" si="286">1/AJ3446</f>
        <v>90</v>
      </c>
    </row>
    <row r="3447" spans="4:37" x14ac:dyDescent="0.35">
      <c r="D3447" s="629">
        <f t="shared" si="239"/>
        <v>30000</v>
      </c>
      <c r="E3447" t="s">
        <v>7628</v>
      </c>
      <c r="F3447" s="719">
        <v>-2.2000000000000002</v>
      </c>
      <c r="G3447" s="171">
        <v>85</v>
      </c>
      <c r="I3447" s="295" t="str">
        <f>I$3439</f>
        <v>20nA NLAST spdt &amp; 8:1 mux (10nA max leakage @ 75C)</v>
      </c>
      <c r="J3447" s="13">
        <f t="shared" ref="J3447:J3455" si="287">AI3447</f>
        <v>20</v>
      </c>
      <c r="K3447" s="295" t="str">
        <f>X1911</f>
        <v>ResTF: ?Ω 150V 0.5% .12W 25ppm 1206 $.013</v>
      </c>
      <c r="N3447" s="639">
        <f>1000000/D$3435</f>
        <v>1000000</v>
      </c>
      <c r="O3447">
        <f t="shared" si="233"/>
        <v>85</v>
      </c>
      <c r="P3447" s="10">
        <f t="shared" ref="P3447:P3455" si="288">1000*O3447/N3447</f>
        <v>8.5000000000000006E-2</v>
      </c>
      <c r="Q3447" s="13">
        <f t="shared" ref="Q3447:Q3455" si="289">O3447*P3447</f>
        <v>7.2250000000000005</v>
      </c>
      <c r="S3447" s="12">
        <f t="shared" ref="S3447:S3455" si="290">(AA3447*D$3475)-(AD3447*0.000001*D3447*D$3476)</f>
        <v>2.9924621805792162</v>
      </c>
      <c r="T3447" s="12">
        <f t="shared" ref="T3447:T3455" si="291">(AB3447*D$3476)-(AE3447*0.000001*D3447*D$3475)</f>
        <v>0.2813085353492335</v>
      </c>
      <c r="V3447" s="13">
        <f t="shared" si="236"/>
        <v>33.333333333333336</v>
      </c>
      <c r="W3447" s="10">
        <f t="shared" ref="W3447:W3455" si="292">D3447/N3447</f>
        <v>0.03</v>
      </c>
      <c r="Y3447" s="460">
        <f t="shared" si="277"/>
        <v>2.8109028960817715</v>
      </c>
      <c r="Z3447">
        <f t="shared" si="278"/>
        <v>2E-3</v>
      </c>
      <c r="AA3447" s="11">
        <f t="shared" ref="AA3447" si="293">Y3447-Z3447</f>
        <v>2.8089028960817717</v>
      </c>
      <c r="AB3447" s="11">
        <f t="shared" ref="AB3447" si="294">Y3447+Z3447</f>
        <v>2.8129028960817712</v>
      </c>
      <c r="AD3447" s="413">
        <f t="shared" ref="AD3447:AD3455" si="295">1000000*(F3447-Y3447)/N3447</f>
        <v>-5.0109028960817721</v>
      </c>
      <c r="AE3447" s="12">
        <f t="shared" ref="AE3447:AE3455" si="296">1000000*(G3447-AB3447)/N3447</f>
        <v>82.187097103918234</v>
      </c>
      <c r="AG3447" s="95">
        <f>AG$3437</f>
        <v>20</v>
      </c>
      <c r="AH3447" s="13">
        <f t="shared" ref="AH3447:AH3455" si="297">AG3447*D3447*0.000001</f>
        <v>0.6</v>
      </c>
      <c r="AI3447" s="15">
        <f t="shared" si="237"/>
        <v>20</v>
      </c>
      <c r="AJ3447" s="167">
        <f t="shared" ref="AJ3447:AJ3454" si="298">AI3447*0.001/G3447</f>
        <v>2.3529411764705883E-4</v>
      </c>
      <c r="AK3447" s="20">
        <f t="shared" si="238"/>
        <v>4250</v>
      </c>
    </row>
    <row r="3448" spans="4:37" x14ac:dyDescent="0.35">
      <c r="D3448" s="629">
        <f t="shared" si="239"/>
        <v>30000</v>
      </c>
      <c r="E3448" t="s">
        <v>7628</v>
      </c>
      <c r="F3448" s="719">
        <v>-2.2000000000000002</v>
      </c>
      <c r="G3448" s="171">
        <v>50</v>
      </c>
      <c r="I3448" s="295" t="str">
        <f>I$3439</f>
        <v>20nA NLAST spdt &amp; 8:1 mux (10nA max leakage @ 75C)</v>
      </c>
      <c r="J3448" s="13">
        <f t="shared" si="287"/>
        <v>20</v>
      </c>
      <c r="K3448" s="295" t="s">
        <v>7628</v>
      </c>
      <c r="N3448" s="808">
        <f>N3447</f>
        <v>1000000</v>
      </c>
      <c r="O3448">
        <f t="shared" si="233"/>
        <v>50</v>
      </c>
      <c r="P3448" s="10">
        <f t="shared" si="288"/>
        <v>0.05</v>
      </c>
      <c r="Q3448" s="13">
        <f t="shared" si="289"/>
        <v>2.5</v>
      </c>
      <c r="S3448" s="12">
        <f t="shared" si="290"/>
        <v>2.9924621805792162</v>
      </c>
      <c r="T3448" s="12">
        <f t="shared" si="291"/>
        <v>1.3444335353492332</v>
      </c>
      <c r="V3448" s="13">
        <f t="shared" si="236"/>
        <v>33.333333333333336</v>
      </c>
      <c r="W3448" s="10">
        <f t="shared" si="292"/>
        <v>0.03</v>
      </c>
      <c r="Y3448" s="460">
        <f t="shared" si="277"/>
        <v>2.8109028960817715</v>
      </c>
      <c r="Z3448">
        <f t="shared" si="278"/>
        <v>2E-3</v>
      </c>
      <c r="AA3448" s="11">
        <f t="shared" ref="AA3448" si="299">Y3448-Z3448</f>
        <v>2.8089028960817717</v>
      </c>
      <c r="AB3448" s="11">
        <f t="shared" ref="AB3448" si="300">Y3448+Z3448</f>
        <v>2.8129028960817712</v>
      </c>
      <c r="AD3448" s="413">
        <f t="shared" si="295"/>
        <v>-5.0109028960817721</v>
      </c>
      <c r="AE3448" s="12">
        <f t="shared" si="296"/>
        <v>47.187097103918227</v>
      </c>
      <c r="AG3448" s="95">
        <f>AG$3437</f>
        <v>20</v>
      </c>
      <c r="AH3448" s="13">
        <f t="shared" si="297"/>
        <v>0.6</v>
      </c>
      <c r="AI3448" s="15">
        <f t="shared" si="237"/>
        <v>20</v>
      </c>
      <c r="AJ3448" s="167">
        <f t="shared" si="298"/>
        <v>4.0000000000000002E-4</v>
      </c>
      <c r="AK3448" s="20">
        <f t="shared" si="238"/>
        <v>2500</v>
      </c>
    </row>
    <row r="3449" spans="4:37" x14ac:dyDescent="0.35">
      <c r="D3449" s="629">
        <f t="shared" si="239"/>
        <v>30000</v>
      </c>
      <c r="E3449" t="s">
        <v>7628</v>
      </c>
      <c r="F3449" s="719">
        <v>-0.2</v>
      </c>
      <c r="G3449" s="171">
        <v>28</v>
      </c>
      <c r="I3449" s="295" t="str">
        <f>I$3439</f>
        <v>20nA NLAST spdt &amp; 8:1 mux (10nA max leakage @ 75C)</v>
      </c>
      <c r="J3449" s="13">
        <f t="shared" si="287"/>
        <v>6.6</v>
      </c>
      <c r="K3449" s="295" t="str">
        <f>X1869</f>
        <v>ResTF: ?Ω 75V 0.5% .06W 25ppm 0603 $.01</v>
      </c>
      <c r="N3449" s="639">
        <f>330000/D$3435</f>
        <v>330000</v>
      </c>
      <c r="O3449">
        <f t="shared" si="233"/>
        <v>28</v>
      </c>
      <c r="P3449" s="10">
        <f t="shared" si="288"/>
        <v>8.4848484848484854E-2</v>
      </c>
      <c r="Q3449" s="13">
        <f t="shared" si="289"/>
        <v>2.375757575757576</v>
      </c>
      <c r="S3449" s="12">
        <f t="shared" si="290"/>
        <v>3.1143111468174074</v>
      </c>
      <c r="T3449" s="12">
        <f t="shared" si="291"/>
        <v>0.45938380827009428</v>
      </c>
      <c r="V3449" s="13">
        <f t="shared" si="236"/>
        <v>11</v>
      </c>
      <c r="W3449" s="10">
        <f t="shared" si="292"/>
        <v>9.0909090909090912E-2</v>
      </c>
      <c r="Y3449" s="460">
        <f t="shared" si="277"/>
        <v>2.8109028960817715</v>
      </c>
      <c r="Z3449">
        <f t="shared" si="278"/>
        <v>2E-3</v>
      </c>
      <c r="AA3449" s="11">
        <f t="shared" ref="AA3449" si="301">Y3449-Z3449</f>
        <v>2.8089028960817717</v>
      </c>
      <c r="AB3449" s="11">
        <f t="shared" ref="AB3449" si="302">Y3449+Z3449</f>
        <v>2.8129028960817712</v>
      </c>
      <c r="AD3449" s="413">
        <f t="shared" si="295"/>
        <v>-9.1239481699447627</v>
      </c>
      <c r="AE3449" s="12">
        <f t="shared" si="296"/>
        <v>76.324536678540085</v>
      </c>
      <c r="AG3449" s="95">
        <f>AG$3437</f>
        <v>20</v>
      </c>
      <c r="AH3449" s="13">
        <f t="shared" si="297"/>
        <v>0.6</v>
      </c>
      <c r="AI3449" s="15">
        <f t="shared" si="237"/>
        <v>6.6</v>
      </c>
      <c r="AJ3449" s="167">
        <f t="shared" si="298"/>
        <v>2.3571428571428571E-4</v>
      </c>
      <c r="AK3449" s="20">
        <f t="shared" si="238"/>
        <v>4242.424242424242</v>
      </c>
    </row>
    <row r="3450" spans="4:37" x14ac:dyDescent="0.35">
      <c r="D3450" s="629">
        <f t="shared" si="239"/>
        <v>30000</v>
      </c>
      <c r="E3450" t="s">
        <v>7628</v>
      </c>
      <c r="F3450" s="423">
        <f>F3449</f>
        <v>-0.2</v>
      </c>
      <c r="G3450" s="423">
        <f>G3449</f>
        <v>28</v>
      </c>
      <c r="H3450" s="95"/>
      <c r="I3450" s="865" t="s">
        <v>7685</v>
      </c>
      <c r="J3450" s="13">
        <f t="shared" si="287"/>
        <v>330</v>
      </c>
      <c r="K3450" s="295" t="s">
        <v>7628</v>
      </c>
      <c r="N3450" s="629">
        <f>N3449</f>
        <v>330000</v>
      </c>
      <c r="O3450">
        <f t="shared" si="233"/>
        <v>28</v>
      </c>
      <c r="P3450" s="10">
        <f t="shared" si="288"/>
        <v>8.4848484848484854E-2</v>
      </c>
      <c r="Q3450" s="13">
        <f t="shared" si="289"/>
        <v>2.375757575757576</v>
      </c>
      <c r="S3450" s="12">
        <f t="shared" si="290"/>
        <v>3.1143111468174074</v>
      </c>
      <c r="T3450" s="12">
        <f t="shared" si="291"/>
        <v>0.45938380827009428</v>
      </c>
      <c r="V3450" s="13">
        <f t="shared" si="236"/>
        <v>11</v>
      </c>
      <c r="W3450" s="10">
        <f t="shared" si="292"/>
        <v>9.0909090909090912E-2</v>
      </c>
      <c r="Y3450" s="460">
        <f t="shared" si="277"/>
        <v>2.8109028960817715</v>
      </c>
      <c r="Z3450">
        <f t="shared" si="278"/>
        <v>2E-3</v>
      </c>
      <c r="AA3450" s="11">
        <f t="shared" ref="AA3450:AA3454" si="303">Y3450-Z3450</f>
        <v>2.8089028960817717</v>
      </c>
      <c r="AB3450" s="11">
        <f t="shared" ref="AB3450:AB3454" si="304">Y3450+Z3450</f>
        <v>2.8129028960817712</v>
      </c>
      <c r="AD3450" s="413">
        <f t="shared" si="295"/>
        <v>-9.1239481699447627</v>
      </c>
      <c r="AE3450" s="12">
        <f t="shared" si="296"/>
        <v>76.324536678540085</v>
      </c>
      <c r="AG3450" s="171">
        <v>1000</v>
      </c>
      <c r="AH3450" s="13">
        <f t="shared" si="297"/>
        <v>30</v>
      </c>
      <c r="AI3450" s="15">
        <f t="shared" si="237"/>
        <v>330</v>
      </c>
      <c r="AJ3450" s="167">
        <f t="shared" si="298"/>
        <v>1.1785714285714287E-2</v>
      </c>
      <c r="AK3450" s="20">
        <f t="shared" si="238"/>
        <v>84.848484848484844</v>
      </c>
    </row>
    <row r="3451" spans="4:37" x14ac:dyDescent="0.35">
      <c r="D3451" s="629">
        <f t="shared" si="239"/>
        <v>30000</v>
      </c>
      <c r="E3451" t="s">
        <v>7628</v>
      </c>
      <c r="F3451" s="719">
        <v>1.6</v>
      </c>
      <c r="G3451" s="719">
        <v>15</v>
      </c>
      <c r="I3451" s="310" t="str">
        <f>I$3450</f>
        <v>1uA VHC4051, no external diode or spdt (1uA max leakage @ 85C)</v>
      </c>
      <c r="J3451" s="13">
        <f t="shared" si="287"/>
        <v>150</v>
      </c>
      <c r="K3451" s="295" t="s">
        <v>7628</v>
      </c>
      <c r="N3451" s="639">
        <v>150000</v>
      </c>
      <c r="O3451">
        <f t="shared" si="233"/>
        <v>15</v>
      </c>
      <c r="P3451" s="10">
        <f t="shared" si="288"/>
        <v>0.1</v>
      </c>
      <c r="Q3451" s="13">
        <f t="shared" si="289"/>
        <v>1.5</v>
      </c>
      <c r="S3451" s="12">
        <f t="shared" si="290"/>
        <v>3.0831675042589435</v>
      </c>
      <c r="T3451" s="12">
        <f t="shared" si="291"/>
        <v>0.30985444633730852</v>
      </c>
      <c r="V3451" s="13">
        <f t="shared" si="236"/>
        <v>5</v>
      </c>
      <c r="W3451" s="10">
        <f t="shared" si="292"/>
        <v>0.2</v>
      </c>
      <c r="Y3451" s="460">
        <f t="shared" si="277"/>
        <v>2.8109028960817715</v>
      </c>
      <c r="Z3451">
        <f t="shared" si="278"/>
        <v>2E-3</v>
      </c>
      <c r="AA3451" s="11">
        <f t="shared" si="303"/>
        <v>2.8089028960817717</v>
      </c>
      <c r="AB3451" s="11">
        <f t="shared" si="304"/>
        <v>2.8129028960817712</v>
      </c>
      <c r="AD3451" s="413">
        <f t="shared" si="295"/>
        <v>-8.0726859738784764</v>
      </c>
      <c r="AE3451" s="12">
        <f t="shared" si="296"/>
        <v>81.247314026121515</v>
      </c>
      <c r="AG3451" s="171">
        <v>1000</v>
      </c>
      <c r="AH3451" s="13">
        <f t="shared" si="297"/>
        <v>30</v>
      </c>
      <c r="AI3451" s="15">
        <f t="shared" si="237"/>
        <v>150</v>
      </c>
      <c r="AJ3451" s="167">
        <f t="shared" si="298"/>
        <v>0.01</v>
      </c>
      <c r="AK3451" s="20">
        <f t="shared" si="238"/>
        <v>100</v>
      </c>
    </row>
    <row r="3452" spans="4:37" x14ac:dyDescent="0.35">
      <c r="D3452" s="629">
        <f t="shared" si="239"/>
        <v>30000</v>
      </c>
      <c r="E3452" t="s">
        <v>7628</v>
      </c>
      <c r="F3452" s="719">
        <v>2.6</v>
      </c>
      <c r="G3452" s="171">
        <v>5.5</v>
      </c>
      <c r="I3452" s="295" t="str">
        <f>I$3439</f>
        <v>20nA NLAST spdt &amp; 8:1 mux (10nA max leakage @ 75C)</v>
      </c>
      <c r="J3452" s="13">
        <f t="shared" si="287"/>
        <v>0.66</v>
      </c>
      <c r="K3452" s="295" t="s">
        <v>7628</v>
      </c>
      <c r="N3452" s="639">
        <v>33000</v>
      </c>
      <c r="O3452" s="15">
        <f t="shared" si="233"/>
        <v>5.5</v>
      </c>
      <c r="P3452" s="10">
        <f t="shared" si="288"/>
        <v>0.16666666666666666</v>
      </c>
      <c r="Q3452" s="13">
        <f t="shared" si="289"/>
        <v>0.91666666666666663</v>
      </c>
      <c r="S3452" s="12">
        <f t="shared" si="290"/>
        <v>3.0333474639925657</v>
      </c>
      <c r="T3452" s="12">
        <f t="shared" si="291"/>
        <v>0.30439086650147029</v>
      </c>
      <c r="V3452" s="13">
        <f t="shared" si="236"/>
        <v>1.1000000000000001</v>
      </c>
      <c r="W3452" s="10">
        <f t="shared" si="292"/>
        <v>0.90909090909090906</v>
      </c>
      <c r="Y3452" s="460">
        <f t="shared" si="277"/>
        <v>2.8109028960817715</v>
      </c>
      <c r="Z3452">
        <f t="shared" si="278"/>
        <v>2E-3</v>
      </c>
      <c r="AA3452" s="11">
        <f t="shared" ref="AA3452" si="305">Y3452-Z3452</f>
        <v>2.8089028960817717</v>
      </c>
      <c r="AB3452" s="11">
        <f t="shared" ref="AB3452" si="306">Y3452+Z3452</f>
        <v>2.8129028960817712</v>
      </c>
      <c r="AD3452" s="413">
        <f t="shared" si="295"/>
        <v>-6.390996850962769</v>
      </c>
      <c r="AE3452" s="12">
        <f t="shared" si="296"/>
        <v>81.427184967219048</v>
      </c>
      <c r="AG3452" s="95">
        <f>AG$3437</f>
        <v>20</v>
      </c>
      <c r="AH3452" s="13">
        <f t="shared" si="297"/>
        <v>0.6</v>
      </c>
      <c r="AI3452" s="13">
        <f t="shared" si="237"/>
        <v>0.66</v>
      </c>
      <c r="AJ3452" s="167">
        <f t="shared" si="298"/>
        <v>1.2E-4</v>
      </c>
      <c r="AK3452" s="20">
        <f t="shared" si="238"/>
        <v>8333.3333333333339</v>
      </c>
    </row>
    <row r="3453" spans="4:37" x14ac:dyDescent="0.35">
      <c r="D3453" s="629">
        <f t="shared" si="239"/>
        <v>30000</v>
      </c>
      <c r="E3453" t="s">
        <v>7628</v>
      </c>
      <c r="F3453" s="423">
        <f>F3452</f>
        <v>2.6</v>
      </c>
      <c r="G3453" s="423">
        <f>G3452</f>
        <v>5.5</v>
      </c>
      <c r="H3453" s="95"/>
      <c r="I3453" s="310" t="str">
        <f>I$3450</f>
        <v>1uA VHC4051, no external diode or spdt (1uA max leakage @ 85C)</v>
      </c>
      <c r="J3453" s="13">
        <f t="shared" si="287"/>
        <v>33</v>
      </c>
      <c r="K3453" s="295" t="s">
        <v>7628</v>
      </c>
      <c r="N3453" s="629">
        <f>N3452</f>
        <v>33000</v>
      </c>
      <c r="O3453" s="15">
        <f t="shared" si="233"/>
        <v>5.5</v>
      </c>
      <c r="P3453" s="10">
        <f t="shared" si="288"/>
        <v>0.16666666666666666</v>
      </c>
      <c r="Q3453" s="13">
        <f t="shared" si="289"/>
        <v>0.91666666666666663</v>
      </c>
      <c r="S3453" s="12">
        <f t="shared" si="290"/>
        <v>3.0333474639925657</v>
      </c>
      <c r="T3453" s="12">
        <f t="shared" si="291"/>
        <v>0.30439086650147029</v>
      </c>
      <c r="V3453" s="13">
        <f t="shared" si="236"/>
        <v>1.1000000000000001</v>
      </c>
      <c r="W3453" s="10">
        <f t="shared" si="292"/>
        <v>0.90909090909090906</v>
      </c>
      <c r="Y3453" s="460">
        <f t="shared" si="277"/>
        <v>2.8109028960817715</v>
      </c>
      <c r="Z3453">
        <f t="shared" si="278"/>
        <v>2E-3</v>
      </c>
      <c r="AA3453" s="11">
        <f t="shared" ref="AA3453" si="307">Y3453-Z3453</f>
        <v>2.8089028960817717</v>
      </c>
      <c r="AB3453" s="11">
        <f t="shared" ref="AB3453" si="308">Y3453+Z3453</f>
        <v>2.8129028960817712</v>
      </c>
      <c r="AD3453" s="413">
        <f t="shared" si="295"/>
        <v>-6.390996850962769</v>
      </c>
      <c r="AE3453" s="12">
        <f t="shared" si="296"/>
        <v>81.427184967219048</v>
      </c>
      <c r="AG3453" s="171">
        <v>1000</v>
      </c>
      <c r="AH3453" s="13">
        <f t="shared" si="297"/>
        <v>30</v>
      </c>
      <c r="AI3453" s="15">
        <f t="shared" si="237"/>
        <v>33</v>
      </c>
      <c r="AJ3453" s="167">
        <f t="shared" si="298"/>
        <v>6.0000000000000001E-3</v>
      </c>
      <c r="AK3453" s="20">
        <f t="shared" si="238"/>
        <v>166.66666666666666</v>
      </c>
    </row>
    <row r="3454" spans="4:37" x14ac:dyDescent="0.35">
      <c r="D3454" s="629">
        <f t="shared" si="239"/>
        <v>30000</v>
      </c>
      <c r="E3454" t="s">
        <v>7628</v>
      </c>
      <c r="F3454" s="171">
        <v>-0.05</v>
      </c>
      <c r="G3454" s="638">
        <v>3.05</v>
      </c>
      <c r="I3454" s="295" t="str">
        <f>I$3439</f>
        <v>20nA NLAST spdt &amp; 8:1 mux (10nA max leakage @ 75C)</v>
      </c>
      <c r="J3454" s="13">
        <f t="shared" si="287"/>
        <v>0.66</v>
      </c>
      <c r="K3454" s="295" t="s">
        <v>7628</v>
      </c>
      <c r="N3454" s="639">
        <v>33000</v>
      </c>
      <c r="O3454" s="15">
        <f t="shared" si="233"/>
        <v>3.05</v>
      </c>
      <c r="P3454" s="10">
        <f t="shared" si="288"/>
        <v>9.2424242424242423E-2</v>
      </c>
      <c r="Q3454" s="13">
        <f t="shared" si="289"/>
        <v>0.28189393939393936</v>
      </c>
      <c r="S3454" s="12">
        <f t="shared" si="290"/>
        <v>2.9902924310852868</v>
      </c>
      <c r="T3454" s="12">
        <f t="shared" si="291"/>
        <v>0.14035385375123943</v>
      </c>
      <c r="V3454" s="13">
        <f t="shared" si="236"/>
        <v>1.1000000000000001</v>
      </c>
      <c r="W3454" s="10">
        <f t="shared" si="292"/>
        <v>0.90909090909090906</v>
      </c>
      <c r="Y3454" s="852">
        <f>F3156</f>
        <v>1.5429740269809948</v>
      </c>
      <c r="Z3454">
        <f t="shared" si="278"/>
        <v>2E-3</v>
      </c>
      <c r="AA3454" s="11">
        <f t="shared" si="303"/>
        <v>1.5409740269809948</v>
      </c>
      <c r="AB3454" s="11">
        <f t="shared" si="304"/>
        <v>1.5449740269809948</v>
      </c>
      <c r="AD3454" s="413">
        <f t="shared" si="295"/>
        <v>-48.271940211545299</v>
      </c>
      <c r="AE3454" s="12">
        <f t="shared" si="296"/>
        <v>45.606847667242576</v>
      </c>
      <c r="AG3454" s="95">
        <f>AG$3437</f>
        <v>20</v>
      </c>
      <c r="AH3454" s="13">
        <f t="shared" si="297"/>
        <v>0.6</v>
      </c>
      <c r="AI3454" s="13">
        <f t="shared" si="237"/>
        <v>0.66</v>
      </c>
      <c r="AJ3454" s="167">
        <f t="shared" si="298"/>
        <v>2.1639344262295082E-4</v>
      </c>
      <c r="AK3454" s="20">
        <f t="shared" si="238"/>
        <v>4621.212121212121</v>
      </c>
    </row>
    <row r="3455" spans="4:37" x14ac:dyDescent="0.35">
      <c r="D3455" s="629">
        <f t="shared" si="239"/>
        <v>30000</v>
      </c>
      <c r="E3455" t="s">
        <v>7628</v>
      </c>
      <c r="F3455" s="638">
        <v>-3</v>
      </c>
      <c r="G3455" s="638">
        <v>-0.05</v>
      </c>
      <c r="I3455" s="310" t="str">
        <f>I$3450</f>
        <v>1uA VHC4051, no external diode or spdt (1uA max leakage @ 85C)</v>
      </c>
      <c r="J3455" s="13">
        <f t="shared" si="287"/>
        <v>33</v>
      </c>
      <c r="K3455" s="295" t="s">
        <v>7628</v>
      </c>
      <c r="N3455" s="639">
        <v>33000</v>
      </c>
      <c r="O3455" s="15">
        <f t="shared" si="233"/>
        <v>3</v>
      </c>
      <c r="P3455" s="10">
        <f t="shared" si="288"/>
        <v>9.0909090909090912E-2</v>
      </c>
      <c r="Q3455" s="13">
        <f t="shared" si="289"/>
        <v>0.27272727272727271</v>
      </c>
      <c r="S3455" s="12">
        <f t="shared" si="290"/>
        <v>2.6911568181818177</v>
      </c>
      <c r="T3455" s="12">
        <f t="shared" si="291"/>
        <v>4.9838636363636363E-2</v>
      </c>
      <c r="V3455" s="13">
        <f t="shared" si="236"/>
        <v>1.1000000000000001</v>
      </c>
      <c r="W3455" s="10">
        <f t="shared" si="292"/>
        <v>0.90909090909090906</v>
      </c>
      <c r="Y3455" s="171">
        <v>0</v>
      </c>
      <c r="Z3455">
        <f t="shared" si="278"/>
        <v>2E-3</v>
      </c>
      <c r="AA3455" s="11">
        <f t="shared" ref="AA3455" si="309">Y3455-Z3455</f>
        <v>-2E-3</v>
      </c>
      <c r="AB3455" s="11">
        <f t="shared" ref="AB3455" si="310">Y3455+Z3455</f>
        <v>2E-3</v>
      </c>
      <c r="AD3455" s="413">
        <f t="shared" si="295"/>
        <v>-90.909090909090907</v>
      </c>
      <c r="AE3455" s="12">
        <f t="shared" si="296"/>
        <v>-1.5757575757575759</v>
      </c>
      <c r="AG3455" s="171">
        <v>1000</v>
      </c>
      <c r="AH3455" s="13">
        <f t="shared" si="297"/>
        <v>30</v>
      </c>
      <c r="AI3455" s="15">
        <f t="shared" si="237"/>
        <v>33</v>
      </c>
      <c r="AJ3455" s="167">
        <f>AI3455*0.001/(MAX(ABS(F3455),ABS(G3455)))</f>
        <v>1.1000000000000001E-2</v>
      </c>
      <c r="AK3455" s="20">
        <f t="shared" si="238"/>
        <v>90.909090909090907</v>
      </c>
    </row>
    <row r="3456" spans="4:37" x14ac:dyDescent="0.35">
      <c r="D3456" s="629"/>
      <c r="F3456" s="638"/>
      <c r="G3456" s="638"/>
      <c r="I3456" s="310"/>
      <c r="J3456" s="13"/>
      <c r="K3456" s="295"/>
      <c r="N3456" s="639"/>
      <c r="P3456" s="10"/>
      <c r="Q3456" s="13"/>
      <c r="S3456" s="12"/>
      <c r="T3456" s="12"/>
      <c r="V3456" s="13"/>
      <c r="W3456" s="10"/>
      <c r="Y3456" s="171"/>
      <c r="AA3456" s="11"/>
      <c r="AB3456" s="11"/>
      <c r="AD3456" s="413"/>
      <c r="AE3456" s="12"/>
      <c r="AG3456" s="171"/>
      <c r="AH3456" s="15"/>
      <c r="AI3456" s="15"/>
      <c r="AJ3456" s="167"/>
      <c r="AK3456" s="20"/>
    </row>
    <row r="3457" spans="2:37" x14ac:dyDescent="0.35">
      <c r="D3457" s="629">
        <f t="shared" si="239"/>
        <v>30000</v>
      </c>
      <c r="E3457" t="s">
        <v>7628</v>
      </c>
      <c r="F3457" s="638">
        <v>-0.03</v>
      </c>
      <c r="G3457" s="638">
        <v>0.03</v>
      </c>
      <c r="I3457" s="310" t="str">
        <f>I$3439</f>
        <v>20nA NLAST spdt &amp; 8:1 mux (10nA max leakage @ 75C)</v>
      </c>
      <c r="J3457" s="13">
        <f>AI3457</f>
        <v>0.54437999999999998</v>
      </c>
      <c r="K3457" s="295" t="s">
        <v>8163</v>
      </c>
      <c r="N3457" s="893">
        <f>G3553</f>
        <v>27219</v>
      </c>
      <c r="O3457">
        <f t="shared" si="233"/>
        <v>0.03</v>
      </c>
      <c r="P3457" s="10">
        <f t="shared" ref="P3457:P3459" si="311">1000*O3457/N3457</f>
        <v>1.1021712774165104E-3</v>
      </c>
      <c r="Q3457" s="13">
        <f t="shared" ref="Q3457:Q3459" si="312">O3457*P3457</f>
        <v>3.3065138322495313E-5</v>
      </c>
      <c r="S3457" s="12">
        <f>(AA3457*D$3475)-(AD3457*0.000001*D3457*D$3476)</f>
        <v>0.49325488895122926</v>
      </c>
      <c r="T3457" s="12">
        <f>(AB3457*D$3476)-(AE3457*0.000001*D3457*D$3475)</f>
        <v>0.43391897561305892</v>
      </c>
      <c r="V3457" s="13">
        <f t="shared" ref="V3457:V3458" si="313">1/W3457</f>
        <v>0.90730000000000011</v>
      </c>
      <c r="W3457" s="10">
        <f>D3457/N3457</f>
        <v>1.1021712774165104</v>
      </c>
      <c r="Y3457" s="852">
        <f>F3169</f>
        <v>0.22020531964535695</v>
      </c>
      <c r="Z3457">
        <f>Z$3439</f>
        <v>2E-3</v>
      </c>
      <c r="AA3457" s="11">
        <f t="shared" ref="AA3457:AA3458" si="314">Y3457-Z3457</f>
        <v>0.21820531964535694</v>
      </c>
      <c r="AB3457" s="11">
        <f t="shared" ref="AB3457:AB3458" si="315">Y3457+Z3457</f>
        <v>0.22220531964535695</v>
      </c>
      <c r="AD3457" s="413">
        <f>1000000*(F3457-Y3457)/N3457</f>
        <v>-9.1923038923309814</v>
      </c>
      <c r="AE3457" s="12">
        <f>1000000*(G3457-AB3457)/N3457</f>
        <v>-7.0614394226590598</v>
      </c>
      <c r="AG3457" s="89">
        <f>AG3437</f>
        <v>20</v>
      </c>
      <c r="AH3457" s="13">
        <f>AG3457*D3457*0.000001</f>
        <v>0.6</v>
      </c>
      <c r="AI3457" s="13">
        <f t="shared" ref="AI3457:AI3458" si="316">AH3457/W3457</f>
        <v>0.54437999999999998</v>
      </c>
      <c r="AJ3457" s="167">
        <f>AI3457*0.001/(MAX(ABS(F3457),ABS(G3457)))</f>
        <v>1.8146000000000002E-2</v>
      </c>
      <c r="AK3457" s="20">
        <f t="shared" ref="AK3457:AK3458" si="317">1/AJ3457</f>
        <v>55.10856387082552</v>
      </c>
    </row>
    <row r="3458" spans="2:37" x14ac:dyDescent="0.35">
      <c r="D3458" s="629">
        <f t="shared" si="239"/>
        <v>30000</v>
      </c>
      <c r="E3458" t="s">
        <v>7628</v>
      </c>
      <c r="F3458" s="419">
        <f>F$3457</f>
        <v>-0.03</v>
      </c>
      <c r="G3458" s="419">
        <f>G$3457</f>
        <v>0.03</v>
      </c>
      <c r="I3458" s="295" t="str">
        <f>I$3457</f>
        <v>20nA NLAST spdt &amp; 8:1 mux (10nA max leakage @ 75C)</v>
      </c>
      <c r="J3458" s="13">
        <f>AI3458</f>
        <v>0.19999999999999998</v>
      </c>
      <c r="K3458" s="295" t="s">
        <v>8164</v>
      </c>
      <c r="N3458" s="893">
        <f>G3554</f>
        <v>10000</v>
      </c>
      <c r="O3458">
        <f t="shared" si="233"/>
        <v>0.03</v>
      </c>
      <c r="P3458" s="10">
        <f t="shared" si="311"/>
        <v>3.0000000000000001E-3</v>
      </c>
      <c r="Q3458" s="13">
        <f t="shared" si="312"/>
        <v>8.9999999999999992E-5</v>
      </c>
      <c r="S3458" s="12">
        <f>(AA3458*D$3475)-(AD3458*0.000001*D3458*D$3476)</f>
        <v>0.9621661455902939</v>
      </c>
      <c r="T3458" s="12">
        <f>(AB3458*D$3476)-(AE3458*0.000001*D3458*D$3475)</f>
        <v>0.80325141157256164</v>
      </c>
      <c r="V3458" s="13">
        <f t="shared" si="313"/>
        <v>0.33333333333333331</v>
      </c>
      <c r="W3458" s="10">
        <f>D3458/N3458</f>
        <v>3</v>
      </c>
      <c r="Y3458" s="641">
        <f>Y$3457</f>
        <v>0.22020531964535695</v>
      </c>
      <c r="Z3458">
        <f>Z$3439</f>
        <v>2E-3</v>
      </c>
      <c r="AA3458" s="11">
        <f t="shared" si="314"/>
        <v>0.21820531964535694</v>
      </c>
      <c r="AB3458" s="11">
        <f t="shared" si="315"/>
        <v>0.22220531964535695</v>
      </c>
      <c r="AD3458" s="413">
        <f>1000000*(F3458-Y3458)/N3458</f>
        <v>-25.020531964535696</v>
      </c>
      <c r="AE3458" s="12">
        <f>1000000*(G3458-AB3458)/N3458</f>
        <v>-19.220531964535695</v>
      </c>
      <c r="AG3458" s="95">
        <f>AG$3457</f>
        <v>20</v>
      </c>
      <c r="AH3458" s="13">
        <f>AG3458*D3458*0.000001</f>
        <v>0.6</v>
      </c>
      <c r="AI3458" s="13">
        <f t="shared" si="316"/>
        <v>0.19999999999999998</v>
      </c>
      <c r="AJ3458" s="167">
        <f>AI3458*0.001/G3458</f>
        <v>6.6666666666666662E-3</v>
      </c>
      <c r="AK3458" s="20">
        <f t="shared" si="317"/>
        <v>150</v>
      </c>
    </row>
    <row r="3459" spans="2:37" x14ac:dyDescent="0.35">
      <c r="D3459" s="629">
        <f t="shared" si="239"/>
        <v>30000</v>
      </c>
      <c r="E3459" t="s">
        <v>7628</v>
      </c>
      <c r="F3459" s="419">
        <f>F$3457</f>
        <v>-0.03</v>
      </c>
      <c r="G3459" s="419">
        <f>G$3457</f>
        <v>0.03</v>
      </c>
      <c r="I3459" s="295" t="str">
        <f>I$3457</f>
        <v>20nA NLAST spdt &amp; 8:1 mux (10nA max leakage @ 75C)</v>
      </c>
      <c r="J3459" s="13">
        <f>AI3459</f>
        <v>4.4560000000000002E-2</v>
      </c>
      <c r="K3459" s="295" t="s">
        <v>8165</v>
      </c>
      <c r="N3459" s="893">
        <f>G3555</f>
        <v>2228</v>
      </c>
      <c r="O3459">
        <f t="shared" si="233"/>
        <v>0.03</v>
      </c>
      <c r="P3459" s="10">
        <f t="shared" si="311"/>
        <v>1.3464991023339317E-2</v>
      </c>
      <c r="Q3459" s="13">
        <f t="shared" si="312"/>
        <v>4.0394973070017953E-4</v>
      </c>
      <c r="S3459" s="12">
        <f>(AA3459*D$3475)-(AD3459*0.000001*D3459*D$3476)</f>
        <v>3.5478326143696943</v>
      </c>
      <c r="T3459" s="12">
        <f>(AB3459*D$3476)-(AE3459*0.000001*D3459*D$3475)</f>
        <v>2.8398211931083703</v>
      </c>
      <c r="V3459" s="13">
        <f t="shared" ref="V3459" si="318">1/W3459</f>
        <v>7.4266666666666661E-2</v>
      </c>
      <c r="W3459" s="10">
        <f>D3459/N3459</f>
        <v>13.464991023339318</v>
      </c>
      <c r="Y3459" s="641">
        <f>Y$3457</f>
        <v>0.22020531964535695</v>
      </c>
      <c r="Z3459">
        <f>Z$3439</f>
        <v>2E-3</v>
      </c>
      <c r="AA3459" s="11">
        <f t="shared" ref="AA3459" si="319">Y3459-Z3459</f>
        <v>0.21820531964535694</v>
      </c>
      <c r="AB3459" s="11">
        <f t="shared" ref="AB3459" si="320">Y3459+Z3459</f>
        <v>0.22220531964535695</v>
      </c>
      <c r="AD3459" s="413">
        <f>1000000*(F3459-Y3459)/N3459</f>
        <v>-112.30041276721587</v>
      </c>
      <c r="AE3459" s="12">
        <f>1000000*(G3459-AB3459)/N3459</f>
        <v>-86.268096788759848</v>
      </c>
      <c r="AG3459" s="95">
        <f>AG$3457</f>
        <v>20</v>
      </c>
      <c r="AH3459" s="13">
        <f>AG3459*D3459*0.000001</f>
        <v>0.6</v>
      </c>
      <c r="AI3459" s="13">
        <f t="shared" ref="AI3459" si="321">AH3459/W3459</f>
        <v>4.4560000000000002E-2</v>
      </c>
      <c r="AJ3459" s="167">
        <f>AI3459*0.001/G3459</f>
        <v>1.4853333333333333E-3</v>
      </c>
      <c r="AK3459" s="20">
        <f t="shared" ref="AK3459" si="322">1/AJ3459</f>
        <v>673.24955116696594</v>
      </c>
    </row>
    <row r="3460" spans="2:37" x14ac:dyDescent="0.35">
      <c r="D3460" s="629"/>
      <c r="F3460" s="419"/>
      <c r="G3460" s="419"/>
      <c r="I3460" s="295"/>
      <c r="J3460" s="13"/>
      <c r="K3460" s="295"/>
      <c r="N3460" s="893"/>
      <c r="P3460" s="10"/>
      <c r="Q3460" s="13"/>
      <c r="S3460" s="12"/>
      <c r="T3460" s="12"/>
      <c r="V3460" s="13"/>
      <c r="W3460" s="10"/>
      <c r="Y3460" s="641"/>
      <c r="AA3460" s="11"/>
      <c r="AB3460" s="11"/>
      <c r="AD3460" s="413"/>
      <c r="AE3460" s="12"/>
      <c r="AG3460" s="95"/>
      <c r="AH3460" s="13"/>
      <c r="AI3460" s="13"/>
      <c r="AJ3460" s="167"/>
      <c r="AK3460" s="20"/>
    </row>
    <row r="3461" spans="2:37" x14ac:dyDescent="0.35">
      <c r="D3461" s="629">
        <f t="shared" si="239"/>
        <v>30000</v>
      </c>
      <c r="E3461" t="s">
        <v>7628</v>
      </c>
      <c r="F3461" s="638">
        <v>-0.03</v>
      </c>
      <c r="G3461" s="638">
        <v>0.03</v>
      </c>
      <c r="I3461" s="310" t="str">
        <f>I$3450</f>
        <v>1uA VHC4051, no external diode or spdt (1uA max leakage @ 85C)</v>
      </c>
      <c r="J3461" s="13">
        <f>AI3461</f>
        <v>10</v>
      </c>
      <c r="K3461" s="295" t="s">
        <v>8166</v>
      </c>
      <c r="N3461" s="639">
        <v>10000</v>
      </c>
      <c r="O3461">
        <f t="shared" si="233"/>
        <v>0.03</v>
      </c>
      <c r="P3461" s="10">
        <f t="shared" ref="P3461" si="323">1000*O3461/N3461</f>
        <v>3.0000000000000001E-3</v>
      </c>
      <c r="Q3461" s="13">
        <f t="shared" ref="Q3461" si="324">O3461*P3461</f>
        <v>8.9999999999999992E-5</v>
      </c>
      <c r="S3461" s="12">
        <f>(AA3461*D$3475)-(AD3461*0.000001*D3461*D$3476)</f>
        <v>0.9621661455902939</v>
      </c>
      <c r="T3461" s="12">
        <f>(AB3461*D$3476)-(AE3461*0.000001*D3461*D$3475)</f>
        <v>0.80325141157256164</v>
      </c>
      <c r="V3461" s="13">
        <f t="shared" ref="V3461" si="325">1/W3461</f>
        <v>0.33333333333333331</v>
      </c>
      <c r="W3461" s="10">
        <f>D3461/N3461</f>
        <v>3</v>
      </c>
      <c r="Y3461" s="852">
        <f>F3169</f>
        <v>0.22020531964535695</v>
      </c>
      <c r="Z3461">
        <f>Z$3439</f>
        <v>2E-3</v>
      </c>
      <c r="AA3461" s="11">
        <f t="shared" ref="AA3461" si="326">Y3461-Z3461</f>
        <v>0.21820531964535694</v>
      </c>
      <c r="AB3461" s="11">
        <f t="shared" ref="AB3461" si="327">Y3461+Z3461</f>
        <v>0.22220531964535695</v>
      </c>
      <c r="AD3461" s="413">
        <f>1000000*(F3461-Y3461)/N3461</f>
        <v>-25.020531964535696</v>
      </c>
      <c r="AE3461" s="12">
        <f>1000000*(G3461-AB3461)/N3461</f>
        <v>-19.220531964535695</v>
      </c>
      <c r="AG3461" s="171">
        <v>1000</v>
      </c>
      <c r="AH3461" s="13">
        <f>AG3461*D3461*0.000001</f>
        <v>30</v>
      </c>
      <c r="AI3461" s="13">
        <f t="shared" ref="AI3461" si="328">AH3461/W3461</f>
        <v>10</v>
      </c>
      <c r="AJ3461" s="167">
        <f>AI3461*0.001/(MAX(ABS(F3461),ABS(G3461)))</f>
        <v>0.33333333333333337</v>
      </c>
      <c r="AK3461" s="20">
        <f t="shared" ref="AK3461" si="329">1/AJ3461</f>
        <v>2.9999999999999996</v>
      </c>
    </row>
    <row r="3462" spans="2:37" x14ac:dyDescent="0.35">
      <c r="D3462" s="171"/>
      <c r="E3462" s="639"/>
      <c r="F3462" s="10"/>
      <c r="G3462" s="12"/>
      <c r="I3462" s="639"/>
      <c r="J3462" s="10"/>
      <c r="N3462" s="171"/>
      <c r="T3462" s="413"/>
      <c r="U3462" s="12"/>
      <c r="W3462" s="12"/>
      <c r="X3462" s="12"/>
      <c r="Z3462" s="171"/>
      <c r="AA3462" s="12"/>
      <c r="AC3462" s="167"/>
      <c r="AD3462" s="20"/>
    </row>
    <row r="3463" spans="2:37" x14ac:dyDescent="0.35">
      <c r="B3463" s="83" t="s">
        <v>5110</v>
      </c>
      <c r="D3463" t="s">
        <v>7792</v>
      </c>
      <c r="E3463" s="335"/>
      <c r="F3463" s="335"/>
      <c r="K3463" t="s">
        <v>8942</v>
      </c>
      <c r="R3463" s="162"/>
    </row>
    <row r="3464" spans="2:37" x14ac:dyDescent="0.35">
      <c r="E3464" s="335"/>
      <c r="F3464" s="335"/>
      <c r="R3464" s="162"/>
    </row>
    <row r="3465" spans="2:37" x14ac:dyDescent="0.35">
      <c r="B3465" s="83" t="s">
        <v>8972</v>
      </c>
      <c r="E3465" s="335"/>
      <c r="F3465" s="335"/>
      <c r="R3465" s="162"/>
    </row>
    <row r="3466" spans="2:37" x14ac:dyDescent="0.35">
      <c r="E3466" s="335"/>
      <c r="F3466" s="335"/>
      <c r="R3466" s="162"/>
    </row>
    <row r="3467" spans="2:37" x14ac:dyDescent="0.35">
      <c r="D3467" t="s">
        <v>8974</v>
      </c>
      <c r="E3467" s="335"/>
      <c r="F3467" s="335"/>
      <c r="G3467" t="str">
        <f>B2905</f>
        <v>30%/70% Digital Control with -1V/4.3V Mux Power</v>
      </c>
      <c r="R3467" s="162"/>
    </row>
    <row r="3468" spans="2:37" x14ac:dyDescent="0.35">
      <c r="E3468" s="335"/>
      <c r="F3468" s="335"/>
      <c r="G3468" t="str">
        <f>B2909</f>
        <v>0.8V/2V Digital Control with -1V/4.3V Mux Power</v>
      </c>
      <c r="R3468" s="162"/>
    </row>
    <row r="3469" spans="2:37" x14ac:dyDescent="0.35">
      <c r="E3469" s="335"/>
      <c r="F3469" s="335"/>
      <c r="R3469" s="162"/>
    </row>
    <row r="3470" spans="2:37" x14ac:dyDescent="0.35">
      <c r="D3470" t="s">
        <v>8973</v>
      </c>
      <c r="G3470" s="705" t="s">
        <v>8941</v>
      </c>
      <c r="H3470" s="335"/>
      <c r="I3470" s="335"/>
      <c r="N3470" t="s">
        <v>8968</v>
      </c>
      <c r="R3470" s="162"/>
    </row>
    <row r="3471" spans="2:37" x14ac:dyDescent="0.35">
      <c r="G3471" s="705" t="s">
        <v>8967</v>
      </c>
      <c r="H3471" s="335"/>
      <c r="I3471" s="335"/>
      <c r="N3471" t="s">
        <v>8969</v>
      </c>
      <c r="R3471" s="162"/>
    </row>
    <row r="3472" spans="2:37" x14ac:dyDescent="0.35">
      <c r="D3472" s="705"/>
      <c r="E3472" s="335"/>
      <c r="F3472" s="335"/>
      <c r="R3472" s="162"/>
    </row>
    <row r="3473" spans="2:25" x14ac:dyDescent="0.35">
      <c r="B3473" s="83" t="s">
        <v>2076</v>
      </c>
      <c r="D3473" s="171">
        <v>2E-3</v>
      </c>
      <c r="E3473" s="335" t="s">
        <v>199</v>
      </c>
      <c r="F3473" s="335" t="s">
        <v>7667</v>
      </c>
      <c r="J3473" t="s">
        <v>7666</v>
      </c>
    </row>
    <row r="3474" spans="2:25" x14ac:dyDescent="0.35">
      <c r="D3474" s="858">
        <f>0.5%+(50*25/1000000)</f>
        <v>6.2500000000000003E-3</v>
      </c>
      <c r="E3474" s="335"/>
      <c r="F3474" s="335" t="s">
        <v>7668</v>
      </c>
    </row>
    <row r="3475" spans="2:25" x14ac:dyDescent="0.35">
      <c r="D3475" s="855">
        <f>1+2*D3474</f>
        <v>1.0125</v>
      </c>
      <c r="E3475" s="335"/>
      <c r="F3475" s="335" t="s">
        <v>7669</v>
      </c>
    </row>
    <row r="3476" spans="2:25" x14ac:dyDescent="0.35">
      <c r="D3476" s="855">
        <f>1-2*D3474</f>
        <v>0.98750000000000004</v>
      </c>
      <c r="E3476" s="335"/>
      <c r="F3476" s="335" t="s">
        <v>7670</v>
      </c>
      <c r="R3476" s="856"/>
      <c r="S3476" s="857"/>
    </row>
    <row r="3477" spans="2:25" x14ac:dyDescent="0.35">
      <c r="D3477" s="855"/>
      <c r="E3477" s="335"/>
      <c r="F3477" s="335"/>
      <c r="R3477" s="813" t="s">
        <v>7551</v>
      </c>
      <c r="S3477" s="814"/>
    </row>
    <row r="3478" spans="2:25" ht="27" customHeight="1" x14ac:dyDescent="0.35">
      <c r="B3478" s="83" t="s">
        <v>3825</v>
      </c>
      <c r="D3478" s="333" t="s">
        <v>7513</v>
      </c>
      <c r="E3478" s="333" t="s">
        <v>7547</v>
      </c>
      <c r="F3478" s="333" t="s">
        <v>7548</v>
      </c>
      <c r="G3478" s="333" t="s">
        <v>7549</v>
      </c>
      <c r="H3478" s="333" t="s">
        <v>7504</v>
      </c>
      <c r="I3478" s="333" t="s">
        <v>7543</v>
      </c>
      <c r="J3478" s="333" t="s">
        <v>7540</v>
      </c>
      <c r="K3478" s="123" t="s">
        <v>7541</v>
      </c>
      <c r="L3478" s="333" t="s">
        <v>3295</v>
      </c>
      <c r="M3478" s="333" t="s">
        <v>7552</v>
      </c>
      <c r="N3478" s="333" t="s">
        <v>7535</v>
      </c>
      <c r="O3478" s="333" t="s">
        <v>7537</v>
      </c>
      <c r="P3478" s="333" t="s">
        <v>7544</v>
      </c>
      <c r="R3478" s="123" t="s">
        <v>7565</v>
      </c>
      <c r="S3478" s="123" t="s">
        <v>7554</v>
      </c>
      <c r="T3478" s="333" t="s">
        <v>5777</v>
      </c>
      <c r="U3478" s="123" t="s">
        <v>7564</v>
      </c>
      <c r="X3478" s="123" t="s">
        <v>6624</v>
      </c>
    </row>
    <row r="3479" spans="2:25" x14ac:dyDescent="0.35">
      <c r="D3479">
        <v>3</v>
      </c>
      <c r="E3479">
        <v>8</v>
      </c>
      <c r="F3479" s="812">
        <f>SUM(D3479:E3479)</f>
        <v>11</v>
      </c>
      <c r="G3479" s="162">
        <v>33000</v>
      </c>
      <c r="H3479" s="13">
        <f>((F3479/1000000)*G3479*6.28)^-1</f>
        <v>0.4386657542418978</v>
      </c>
      <c r="I3479" s="162">
        <v>1000000</v>
      </c>
      <c r="J3479" s="316" t="s">
        <v>7542</v>
      </c>
      <c r="K3479" s="316">
        <v>1</v>
      </c>
      <c r="L3479" s="295" t="s">
        <v>7507</v>
      </c>
      <c r="M3479" s="295" t="s">
        <v>7553</v>
      </c>
      <c r="N3479" s="295" t="s">
        <v>7536</v>
      </c>
      <c r="O3479" s="295" t="s">
        <v>7539</v>
      </c>
      <c r="P3479" s="316" t="s">
        <v>7546</v>
      </c>
      <c r="R3479" s="819">
        <v>1.1000000000000001</v>
      </c>
      <c r="S3479" s="818" t="s">
        <v>4726</v>
      </c>
      <c r="T3479" s="472" t="s">
        <v>7557</v>
      </c>
      <c r="U3479" s="472" t="s">
        <v>7572</v>
      </c>
      <c r="W3479" s="135"/>
      <c r="X3479" s="472" t="s">
        <v>7575</v>
      </c>
    </row>
    <row r="3480" spans="2:25" x14ac:dyDescent="0.35">
      <c r="D3480" s="313" t="s">
        <v>3919</v>
      </c>
      <c r="E3480" s="313" t="s">
        <v>3919</v>
      </c>
      <c r="F3480" s="313" t="s">
        <v>3919</v>
      </c>
      <c r="G3480" s="313" t="s">
        <v>3919</v>
      </c>
      <c r="H3480" s="313" t="s">
        <v>3919</v>
      </c>
      <c r="I3480" s="162">
        <v>6000000</v>
      </c>
      <c r="J3480" s="316" t="s">
        <v>7567</v>
      </c>
      <c r="K3480" s="316"/>
      <c r="L3480" s="295"/>
      <c r="M3480" s="295"/>
      <c r="N3480" s="295"/>
      <c r="O3480" s="295"/>
      <c r="P3480" s="316"/>
      <c r="R3480" s="819">
        <v>3</v>
      </c>
      <c r="S3480" s="818" t="s">
        <v>7566</v>
      </c>
      <c r="T3480" s="135"/>
      <c r="U3480" s="472" t="s">
        <v>7571</v>
      </c>
      <c r="W3480" s="135"/>
      <c r="X3480" s="472" t="s">
        <v>7576</v>
      </c>
    </row>
    <row r="3481" spans="2:25" x14ac:dyDescent="0.35">
      <c r="D3481" s="313" t="s">
        <v>3919</v>
      </c>
      <c r="E3481" s="313" t="s">
        <v>3919</v>
      </c>
      <c r="F3481" s="313" t="s">
        <v>3919</v>
      </c>
      <c r="G3481" s="313" t="s">
        <v>3919</v>
      </c>
      <c r="H3481" s="313" t="s">
        <v>3919</v>
      </c>
      <c r="I3481" s="162">
        <v>330000</v>
      </c>
      <c r="J3481" s="316" t="s">
        <v>7568</v>
      </c>
      <c r="K3481" s="316"/>
      <c r="L3481" s="295"/>
      <c r="M3481" s="295"/>
      <c r="N3481" s="295"/>
      <c r="O3481" s="295"/>
      <c r="P3481" s="316"/>
      <c r="R3481" s="819">
        <v>0.6</v>
      </c>
      <c r="S3481" s="818" t="s">
        <v>4726</v>
      </c>
      <c r="T3481" s="135"/>
      <c r="U3481" s="472" t="s">
        <v>7570</v>
      </c>
      <c r="W3481" s="135"/>
      <c r="X3481" s="472" t="s">
        <v>7577</v>
      </c>
    </row>
    <row r="3482" spans="2:25" x14ac:dyDescent="0.35">
      <c r="D3482" s="313" t="s">
        <v>3919</v>
      </c>
      <c r="E3482" s="313" t="s">
        <v>3919</v>
      </c>
      <c r="F3482" s="313" t="s">
        <v>3919</v>
      </c>
      <c r="G3482" s="313" t="s">
        <v>1855</v>
      </c>
      <c r="H3482" s="13"/>
      <c r="I3482" s="313" t="s">
        <v>1855</v>
      </c>
      <c r="J3482" s="316" t="s">
        <v>7569</v>
      </c>
      <c r="K3482" s="316">
        <v>1</v>
      </c>
      <c r="L3482" s="295" t="s">
        <v>3919</v>
      </c>
      <c r="M3482" s="295" t="s">
        <v>7555</v>
      </c>
      <c r="N3482" s="295" t="s">
        <v>7556</v>
      </c>
      <c r="O3482" s="295" t="s">
        <v>7538</v>
      </c>
      <c r="P3482" s="316" t="s">
        <v>7550</v>
      </c>
      <c r="R3482" s="819">
        <v>6</v>
      </c>
      <c r="S3482" s="818" t="s">
        <v>7574</v>
      </c>
      <c r="T3482" s="135"/>
      <c r="U3482" s="472" t="s">
        <v>7573</v>
      </c>
      <c r="W3482" s="135"/>
      <c r="X3482" s="472" t="s">
        <v>7578</v>
      </c>
    </row>
    <row r="3483" spans="2:25" x14ac:dyDescent="0.35">
      <c r="D3483" s="705"/>
      <c r="E3483" s="335"/>
      <c r="F3483" s="335"/>
      <c r="R3483" s="162"/>
    </row>
    <row r="3484" spans="2:25" x14ac:dyDescent="0.35">
      <c r="B3484" s="83" t="s">
        <v>7533</v>
      </c>
      <c r="D3484" s="809" t="s">
        <v>7514</v>
      </c>
      <c r="G3484" t="s">
        <v>7507</v>
      </c>
      <c r="H3484" t="s">
        <v>7523</v>
      </c>
      <c r="K3484" t="s">
        <v>7499</v>
      </c>
      <c r="N3484" t="s">
        <v>7528</v>
      </c>
      <c r="Q3484" s="162"/>
    </row>
    <row r="3485" spans="2:25" x14ac:dyDescent="0.35">
      <c r="B3485" s="811" t="s">
        <v>7534</v>
      </c>
      <c r="D3485" s="809"/>
      <c r="G3485" t="s">
        <v>7508</v>
      </c>
      <c r="N3485" t="s">
        <v>7519</v>
      </c>
      <c r="Q3485" s="162"/>
    </row>
    <row r="3486" spans="2:25" x14ac:dyDescent="0.35">
      <c r="D3486" s="809"/>
      <c r="G3486" t="s">
        <v>7509</v>
      </c>
      <c r="N3486" t="s">
        <v>7520</v>
      </c>
      <c r="Q3486" s="162"/>
      <c r="X3486" s="162"/>
      <c r="Y3486" s="13"/>
    </row>
    <row r="3487" spans="2:25" x14ac:dyDescent="0.35">
      <c r="D3487" s="809"/>
      <c r="G3487" t="s">
        <v>7511</v>
      </c>
      <c r="N3487" t="s">
        <v>7518</v>
      </c>
      <c r="Q3487" s="162"/>
      <c r="X3487" s="162"/>
      <c r="Y3487" s="13"/>
    </row>
    <row r="3488" spans="2:25" x14ac:dyDescent="0.35">
      <c r="D3488" s="809" t="s">
        <v>7515</v>
      </c>
      <c r="G3488" t="s">
        <v>7507</v>
      </c>
      <c r="H3488" t="s">
        <v>7524</v>
      </c>
      <c r="N3488" t="s">
        <v>7521</v>
      </c>
      <c r="Q3488" s="162" t="s">
        <v>7502</v>
      </c>
    </row>
    <row r="3489" spans="2:18" x14ac:dyDescent="0.35">
      <c r="D3489" s="809" t="s">
        <v>7516</v>
      </c>
      <c r="G3489" t="s">
        <v>7507</v>
      </c>
      <c r="H3489" t="s">
        <v>7525</v>
      </c>
      <c r="N3489" t="s">
        <v>7522</v>
      </c>
      <c r="Q3489" s="162" t="s">
        <v>7503</v>
      </c>
    </row>
    <row r="3490" spans="2:18" x14ac:dyDescent="0.35">
      <c r="D3490" s="809" t="s">
        <v>7517</v>
      </c>
      <c r="G3490" t="s">
        <v>7507</v>
      </c>
      <c r="N3490" t="s">
        <v>7526</v>
      </c>
      <c r="Q3490" s="162" t="s">
        <v>7527</v>
      </c>
    </row>
    <row r="3491" spans="2:18" x14ac:dyDescent="0.35">
      <c r="D3491" s="705"/>
      <c r="E3491" s="335"/>
      <c r="F3491" s="335"/>
      <c r="R3491" s="162"/>
    </row>
    <row r="3492" spans="2:18" x14ac:dyDescent="0.35">
      <c r="D3492" s="705" t="s">
        <v>7506</v>
      </c>
      <c r="E3492" s="335"/>
      <c r="F3492" s="335"/>
      <c r="R3492" s="162"/>
    </row>
    <row r="3493" spans="2:18" x14ac:dyDescent="0.35">
      <c r="D3493" s="705"/>
      <c r="E3493" s="335"/>
      <c r="F3493" s="335"/>
      <c r="R3493" s="162"/>
    </row>
    <row r="3494" spans="2:18" x14ac:dyDescent="0.35">
      <c r="B3494" s="83" t="s">
        <v>7512</v>
      </c>
      <c r="D3494" s="333" t="s">
        <v>7513</v>
      </c>
      <c r="E3494" s="333" t="s">
        <v>7678</v>
      </c>
      <c r="F3494" s="333" t="s">
        <v>7504</v>
      </c>
      <c r="H3494" s="162"/>
      <c r="I3494" s="333" t="s">
        <v>1167</v>
      </c>
      <c r="J3494" s="333" t="s">
        <v>7545</v>
      </c>
      <c r="K3494" s="333" t="s">
        <v>7008</v>
      </c>
    </row>
    <row r="3495" spans="2:18" x14ac:dyDescent="0.35">
      <c r="D3495">
        <v>20</v>
      </c>
      <c r="E3495" s="162">
        <f>D3439</f>
        <v>30000</v>
      </c>
      <c r="F3495" s="13">
        <f t="shared" ref="F3495:F3496" si="330">((D3495/1000000)*E3495*6.28)^-1</f>
        <v>0.26539278131634814</v>
      </c>
      <c r="H3495" s="162"/>
      <c r="I3495" s="55">
        <v>0.01</v>
      </c>
      <c r="J3495" s="162">
        <f>1/I3495</f>
        <v>100</v>
      </c>
      <c r="K3495" s="335">
        <f>20*LOG10(J3495)</f>
        <v>40</v>
      </c>
    </row>
    <row r="3496" spans="2:18" x14ac:dyDescent="0.35">
      <c r="D3496">
        <v>3</v>
      </c>
      <c r="E3496" s="162">
        <f>D3439</f>
        <v>30000</v>
      </c>
      <c r="F3496" s="13">
        <f t="shared" si="330"/>
        <v>1.7692852087756545</v>
      </c>
      <c r="H3496" s="162"/>
      <c r="I3496" s="55">
        <v>0.1</v>
      </c>
      <c r="J3496" s="162">
        <f>1/I3496</f>
        <v>10</v>
      </c>
      <c r="K3496" s="335">
        <f>20*LOG10(J3496)</f>
        <v>20</v>
      </c>
    </row>
    <row r="3497" spans="2:18" x14ac:dyDescent="0.35">
      <c r="H3497" s="162"/>
      <c r="I3497" s="55">
        <v>0.95</v>
      </c>
      <c r="J3497" s="162">
        <f>1/I3497</f>
        <v>1.0526315789473684</v>
      </c>
      <c r="K3497" s="335">
        <f>20*LOG10(J3497)</f>
        <v>0.44552789422304417</v>
      </c>
    </row>
    <row r="3498" spans="2:18" x14ac:dyDescent="0.35">
      <c r="H3498" s="162"/>
      <c r="I3498" s="55">
        <v>0.99</v>
      </c>
      <c r="J3498" s="162">
        <f>1/I3498</f>
        <v>1.0101010101010102</v>
      </c>
      <c r="K3498" s="335">
        <f>20*LOG10(J3498)</f>
        <v>8.7296108049002258E-2</v>
      </c>
    </row>
    <row r="3499" spans="2:18" x14ac:dyDescent="0.35">
      <c r="E3499" s="162"/>
      <c r="F3499" s="13"/>
      <c r="H3499" s="162"/>
      <c r="J3499" s="1"/>
      <c r="K3499" s="162"/>
    </row>
    <row r="3500" spans="2:18" x14ac:dyDescent="0.35">
      <c r="B3500" s="83" t="s">
        <v>7671</v>
      </c>
      <c r="D3500" t="s">
        <v>7672</v>
      </c>
      <c r="E3500" t="s">
        <v>7674</v>
      </c>
      <c r="F3500" s="15"/>
      <c r="H3500" s="162"/>
      <c r="J3500" s="1"/>
      <c r="K3500" s="162"/>
    </row>
    <row r="3501" spans="2:18" x14ac:dyDescent="0.35">
      <c r="D3501" t="s">
        <v>7673</v>
      </c>
      <c r="E3501" t="s">
        <v>7510</v>
      </c>
      <c r="H3501" s="162"/>
      <c r="J3501" s="1"/>
      <c r="K3501" s="162"/>
    </row>
    <row r="3502" spans="2:18" x14ac:dyDescent="0.35">
      <c r="H3502" s="162"/>
      <c r="J3502" s="1"/>
      <c r="K3502" s="162"/>
    </row>
    <row r="3503" spans="2:18" x14ac:dyDescent="0.35">
      <c r="B3503" s="83" t="s">
        <v>3840</v>
      </c>
      <c r="D3503" t="s">
        <v>3101</v>
      </c>
      <c r="J3503" s="1" t="s">
        <v>3100</v>
      </c>
    </row>
    <row r="3504" spans="2:18" x14ac:dyDescent="0.35">
      <c r="J3504" s="1"/>
    </row>
    <row r="3505" spans="2:18" x14ac:dyDescent="0.35">
      <c r="B3505" s="83" t="s">
        <v>1377</v>
      </c>
      <c r="D3505" t="s">
        <v>3054</v>
      </c>
      <c r="J3505" s="1" t="s">
        <v>3053</v>
      </c>
      <c r="L3505" s="14"/>
    </row>
    <row r="3506" spans="2:18" x14ac:dyDescent="0.35">
      <c r="D3506" t="s">
        <v>3056</v>
      </c>
      <c r="J3506" s="1" t="s">
        <v>3055</v>
      </c>
    </row>
    <row r="3507" spans="2:18" x14ac:dyDescent="0.35">
      <c r="D3507" t="s">
        <v>3058</v>
      </c>
      <c r="J3507" s="1" t="s">
        <v>3057</v>
      </c>
    </row>
    <row r="3508" spans="2:18" x14ac:dyDescent="0.35">
      <c r="D3508" t="s">
        <v>4512</v>
      </c>
      <c r="F3508" s="15"/>
      <c r="H3508" s="162"/>
      <c r="J3508" s="1" t="s">
        <v>4498</v>
      </c>
      <c r="K3508" s="162"/>
    </row>
    <row r="3509" spans="2:18" x14ac:dyDescent="0.35">
      <c r="F3509" s="15"/>
      <c r="H3509" s="162"/>
      <c r="J3509" s="1"/>
      <c r="K3509" s="162"/>
    </row>
    <row r="3510" spans="2:18" x14ac:dyDescent="0.35">
      <c r="B3510" s="83" t="s">
        <v>7675</v>
      </c>
      <c r="D3510" s="335"/>
      <c r="E3510" s="335"/>
      <c r="F3510" s="335"/>
      <c r="J3510" s="295" t="s">
        <v>4515</v>
      </c>
      <c r="N3510" s="403"/>
      <c r="O3510" s="404"/>
      <c r="Q3510" s="8"/>
    </row>
    <row r="3511" spans="2:18" x14ac:dyDescent="0.35">
      <c r="D3511" s="335"/>
      <c r="E3511" s="335"/>
      <c r="F3511" s="335"/>
      <c r="J3511" s="295" t="s">
        <v>4516</v>
      </c>
      <c r="N3511" s="403"/>
      <c r="O3511" s="404"/>
      <c r="Q3511" s="8"/>
    </row>
    <row r="3512" spans="2:18" x14ac:dyDescent="0.35">
      <c r="D3512" s="335"/>
      <c r="E3512" s="335"/>
      <c r="F3512" s="420"/>
      <c r="G3512" s="12">
        <v>1</v>
      </c>
      <c r="I3512" s="12"/>
    </row>
    <row r="3513" spans="2:18" ht="24.5" x14ac:dyDescent="0.35">
      <c r="D3513" s="333" t="s">
        <v>4517</v>
      </c>
      <c r="E3513" s="333" t="s">
        <v>4518</v>
      </c>
      <c r="F3513" s="333" t="s">
        <v>4521</v>
      </c>
      <c r="G3513" s="333" t="s">
        <v>3813</v>
      </c>
      <c r="H3513" s="333" t="s">
        <v>4519</v>
      </c>
      <c r="I3513" s="393"/>
      <c r="J3513" s="123" t="s">
        <v>3050</v>
      </c>
      <c r="K3513" s="123" t="s">
        <v>3051</v>
      </c>
      <c r="N3513" s="557" t="s">
        <v>6521</v>
      </c>
      <c r="O3513" s="665"/>
      <c r="P3513" s="665"/>
      <c r="Q3513" s="665"/>
      <c r="R3513" s="665"/>
    </row>
    <row r="3514" spans="2:18" x14ac:dyDescent="0.35">
      <c r="D3514" s="622">
        <f>F3447</f>
        <v>-2.2000000000000002</v>
      </c>
      <c r="E3514" s="684">
        <f>Y3447</f>
        <v>2.8109028960817715</v>
      </c>
      <c r="F3514" s="852">
        <f>-D3473</f>
        <v>-2E-3</v>
      </c>
      <c r="G3514" s="462">
        <f>P3518</f>
        <v>-3.1945788964181994E-2</v>
      </c>
      <c r="H3514" s="12">
        <f>(E3514+F3514)+((D3514-(E3514+(F3514)))*G3514)</f>
        <v>2.9689162509420801</v>
      </c>
      <c r="J3514" s="10">
        <f>1000*D3514/SUM(O$3517:P$3517)</f>
        <v>-2.1297192642787998E-3</v>
      </c>
      <c r="K3514" s="13">
        <f>J3514*D3514</f>
        <v>4.6853823814133602E-3</v>
      </c>
    </row>
    <row r="3515" spans="2:18" x14ac:dyDescent="0.35">
      <c r="D3515">
        <f t="shared" ref="D3515:D3517" si="331">D3514</f>
        <v>-2.2000000000000002</v>
      </c>
      <c r="E3515" s="12">
        <f>E$3514</f>
        <v>2.8109028960817715</v>
      </c>
      <c r="F3515" s="460">
        <v>0</v>
      </c>
      <c r="G3515" s="10">
        <f>G3514</f>
        <v>-3.1945788964181994E-2</v>
      </c>
      <c r="H3515" s="12">
        <f t="shared" ref="H3515:H3517" si="332">(E3515+F3515)+((D3515-(E3515+(F3515)))*G3515)</f>
        <v>2.9709801425200082</v>
      </c>
      <c r="J3515" s="10">
        <f>1000*D3515/SUM(O$3517:P$3517)</f>
        <v>-2.1297192642787998E-3</v>
      </c>
      <c r="K3515" s="13">
        <f t="shared" ref="K3515:K3517" si="333">J3515*D3515</f>
        <v>4.6853823814133602E-3</v>
      </c>
      <c r="N3515" s="205"/>
      <c r="O3515" s="205" t="s">
        <v>4520</v>
      </c>
      <c r="P3515" s="205" t="s">
        <v>6522</v>
      </c>
    </row>
    <row r="3516" spans="2:18" x14ac:dyDescent="0.35">
      <c r="D3516">
        <f t="shared" si="331"/>
        <v>-2.2000000000000002</v>
      </c>
      <c r="E3516" s="12">
        <f t="shared" ref="E3516:E3517" si="334">E$3514</f>
        <v>2.8109028960817715</v>
      </c>
      <c r="F3516" s="460">
        <f>-F3514</f>
        <v>2E-3</v>
      </c>
      <c r="G3516" s="10">
        <f>G3515</f>
        <v>-3.1945788964181994E-2</v>
      </c>
      <c r="H3516" s="12">
        <f t="shared" si="332"/>
        <v>2.9730440340979363</v>
      </c>
      <c r="J3516" s="10">
        <f>1000*D3516/SUM(O$3517:P$3517)</f>
        <v>-2.1297192642787998E-3</v>
      </c>
      <c r="K3516" s="13">
        <f t="shared" si="333"/>
        <v>4.6853823814133602E-3</v>
      </c>
      <c r="N3516" s="143" t="s">
        <v>6519</v>
      </c>
      <c r="O3516" s="864">
        <f>G3447</f>
        <v>85</v>
      </c>
      <c r="P3516" s="403">
        <f>MAX(H3514:H3528)</f>
        <v>2.9730440340979363</v>
      </c>
    </row>
    <row r="3517" spans="2:18" x14ac:dyDescent="0.35">
      <c r="D3517">
        <f t="shared" si="331"/>
        <v>-2.2000000000000002</v>
      </c>
      <c r="E3517" s="12">
        <f t="shared" si="334"/>
        <v>2.8109028960817715</v>
      </c>
      <c r="F3517" s="460">
        <f>F3514</f>
        <v>-2E-3</v>
      </c>
      <c r="G3517" s="10">
        <f>G3516</f>
        <v>-3.1945788964181994E-2</v>
      </c>
      <c r="H3517" s="12">
        <f t="shared" si="332"/>
        <v>2.9689162509420801</v>
      </c>
      <c r="J3517" s="10">
        <f>1000*D3517/SUM(O$3517:P$3517)</f>
        <v>-2.1297192642787998E-3</v>
      </c>
      <c r="K3517" s="13">
        <f t="shared" si="333"/>
        <v>4.6853823814133602E-3</v>
      </c>
      <c r="N3517" t="s">
        <v>40</v>
      </c>
      <c r="O3517" s="863">
        <v>1000000</v>
      </c>
      <c r="P3517" s="795">
        <v>33000</v>
      </c>
    </row>
    <row r="3518" spans="2:18" x14ac:dyDescent="0.35">
      <c r="D3518" s="335"/>
      <c r="E3518" s="12"/>
      <c r="F3518" s="10"/>
      <c r="G3518" s="10"/>
      <c r="H3518" s="12"/>
      <c r="N3518" t="s">
        <v>3071</v>
      </c>
      <c r="P3518" s="10">
        <f>-(P3517/(O3517+P3517))*G$3613</f>
        <v>-3.1945788964181994E-2</v>
      </c>
    </row>
    <row r="3519" spans="2:18" x14ac:dyDescent="0.35">
      <c r="D3519" s="793">
        <v>50</v>
      </c>
      <c r="E3519" s="12">
        <f t="shared" ref="E3519:E3522" si="335">E$3514</f>
        <v>2.8109028960817715</v>
      </c>
      <c r="F3519" s="10">
        <f>F3514</f>
        <v>-2E-3</v>
      </c>
      <c r="G3519" s="460">
        <f>G3514</f>
        <v>-3.1945788964181994E-2</v>
      </c>
      <c r="H3519" s="12">
        <f t="shared" ref="H3519:H3522" si="336">(E3519+F3519)+((D3519-(E3519+(F3519)))*G3519)</f>
        <v>1.3013460670117798</v>
      </c>
      <c r="J3519" s="10">
        <f>1000*D3519/SUM(O$3517:P$3517)</f>
        <v>4.8402710551790899E-2</v>
      </c>
      <c r="K3519" s="13">
        <f t="shared" ref="K3519:K3528" si="337">J3519*D3519</f>
        <v>2.4201355275895451</v>
      </c>
      <c r="N3519" t="s">
        <v>7676</v>
      </c>
      <c r="O3519" s="451">
        <f>1000000*O3516/O3517</f>
        <v>85</v>
      </c>
      <c r="P3519" s="451">
        <f>1000000*P3516/P3517</f>
        <v>90.09224345751322</v>
      </c>
    </row>
    <row r="3520" spans="2:18" x14ac:dyDescent="0.35">
      <c r="D3520">
        <f t="shared" ref="D3520:D3522" si="338">D3519</f>
        <v>50</v>
      </c>
      <c r="E3520" s="12">
        <f t="shared" si="335"/>
        <v>2.8109028960817715</v>
      </c>
      <c r="F3520" s="10">
        <f t="shared" ref="F3520:F3522" si="339">F3515</f>
        <v>0</v>
      </c>
      <c r="G3520" s="10">
        <f>G3519</f>
        <v>-3.1945788964181994E-2</v>
      </c>
      <c r="H3520" s="12">
        <f t="shared" si="336"/>
        <v>1.3034099585897081</v>
      </c>
      <c r="J3520" s="10">
        <f>1000*D3520/SUM(O$3517:P$3517)</f>
        <v>4.8402710551790899E-2</v>
      </c>
      <c r="K3520" s="13">
        <f t="shared" si="337"/>
        <v>2.4201355275895451</v>
      </c>
      <c r="N3520" t="s">
        <v>7677</v>
      </c>
      <c r="O3520" s="13">
        <f>O3519*O3516/1000</f>
        <v>7.2249999999999996</v>
      </c>
      <c r="P3520" s="13">
        <f>P3519*P3516/1000</f>
        <v>0.2678482069298585</v>
      </c>
    </row>
    <row r="3521" spans="1:16" x14ac:dyDescent="0.35">
      <c r="D3521">
        <f t="shared" si="338"/>
        <v>50</v>
      </c>
      <c r="E3521" s="12">
        <f t="shared" si="335"/>
        <v>2.8109028960817715</v>
      </c>
      <c r="F3521" s="10">
        <f t="shared" si="339"/>
        <v>2E-3</v>
      </c>
      <c r="G3521" s="10">
        <f>G3520</f>
        <v>-3.1945788964181994E-2</v>
      </c>
      <c r="H3521" s="12">
        <f t="shared" si="336"/>
        <v>1.3054738501676362</v>
      </c>
      <c r="J3521" s="10">
        <f>1000*D3521/SUM(O$3517:P$3517)</f>
        <v>4.8402710551790899E-2</v>
      </c>
      <c r="K3521" s="13">
        <f t="shared" si="337"/>
        <v>2.4201355275895451</v>
      </c>
      <c r="N3521" t="s">
        <v>6520</v>
      </c>
      <c r="O3521" s="404"/>
      <c r="P3521">
        <v>3</v>
      </c>
    </row>
    <row r="3522" spans="1:16" x14ac:dyDescent="0.35">
      <c r="D3522">
        <f t="shared" si="338"/>
        <v>50</v>
      </c>
      <c r="E3522" s="12">
        <f t="shared" si="335"/>
        <v>2.8109028960817715</v>
      </c>
      <c r="F3522" s="10">
        <f t="shared" si="339"/>
        <v>-2E-3</v>
      </c>
      <c r="G3522" s="10">
        <f>G3521</f>
        <v>-3.1945788964181994E-2</v>
      </c>
      <c r="H3522" s="12">
        <f t="shared" si="336"/>
        <v>1.3013460670117798</v>
      </c>
      <c r="J3522" s="10">
        <f>1000*D3522/SUM(O$3517:P$3517)</f>
        <v>4.8402710551790899E-2</v>
      </c>
      <c r="K3522" s="13">
        <f t="shared" si="337"/>
        <v>2.4201355275895451</v>
      </c>
      <c r="N3522" s="13" t="s">
        <v>4497</v>
      </c>
      <c r="O3522" s="404"/>
      <c r="P3522" s="12">
        <f>0.000001*1/(6.28*P3517*P3521*0.000000000001)</f>
        <v>1.6084410988869586</v>
      </c>
    </row>
    <row r="3523" spans="1:16" x14ac:dyDescent="0.35">
      <c r="E3523" s="12"/>
      <c r="F3523" s="10"/>
      <c r="G3523" s="10"/>
      <c r="H3523" s="12"/>
    </row>
    <row r="3524" spans="1:16" x14ac:dyDescent="0.35">
      <c r="D3524" s="461">
        <f>G3447</f>
        <v>85</v>
      </c>
      <c r="E3524" s="12">
        <f t="shared" ref="E3524:E3528" si="340">E$3514</f>
        <v>2.8109028960817715</v>
      </c>
      <c r="F3524" s="10">
        <f>F3514</f>
        <v>-2E-3</v>
      </c>
      <c r="G3524" s="460">
        <f>G3514</f>
        <v>-3.1945788964181994E-2</v>
      </c>
      <c r="H3524" s="12">
        <f t="shared" ref="H3524:H3528" si="341">(E3524+F3524)+((D3524-(E3524+(F3524)))*G3524)</f>
        <v>0.18324345326541014</v>
      </c>
      <c r="J3524" s="10">
        <f>1000*D3524/SUM(O$3517:P$3517)</f>
        <v>8.2284607938044527E-2</v>
      </c>
      <c r="K3524" s="13">
        <f t="shared" si="337"/>
        <v>6.9941916747337851</v>
      </c>
    </row>
    <row r="3525" spans="1:16" x14ac:dyDescent="0.35">
      <c r="D3525" s="162">
        <f>D3524</f>
        <v>85</v>
      </c>
      <c r="E3525" s="12">
        <f t="shared" si="340"/>
        <v>2.8109028960817715</v>
      </c>
      <c r="F3525" s="10">
        <f>F3516</f>
        <v>2E-3</v>
      </c>
      <c r="G3525" s="10">
        <f>G3524</f>
        <v>-3.1945788964181994E-2</v>
      </c>
      <c r="H3525" s="12">
        <f t="shared" si="341"/>
        <v>0.1873712364212663</v>
      </c>
      <c r="J3525" s="10">
        <f>1000*D3525/SUM(O$3517:P$3517)</f>
        <v>8.2284607938044527E-2</v>
      </c>
      <c r="K3525" s="13">
        <f t="shared" si="337"/>
        <v>6.9941916747337851</v>
      </c>
    </row>
    <row r="3526" spans="1:16" x14ac:dyDescent="0.35">
      <c r="D3526">
        <f>D3524</f>
        <v>85</v>
      </c>
      <c r="E3526" s="12">
        <f t="shared" si="340"/>
        <v>2.8109028960817715</v>
      </c>
      <c r="F3526" s="10">
        <f>F3515</f>
        <v>0</v>
      </c>
      <c r="G3526" s="10">
        <f>G3524</f>
        <v>-3.1945788964181994E-2</v>
      </c>
      <c r="H3526" s="12">
        <f t="shared" si="341"/>
        <v>0.18530734484333822</v>
      </c>
      <c r="J3526" s="10">
        <f>1000*D3526/SUM(O$3517:P$3517)</f>
        <v>8.2284607938044527E-2</v>
      </c>
      <c r="K3526" s="13">
        <f t="shared" si="337"/>
        <v>6.9941916747337851</v>
      </c>
    </row>
    <row r="3527" spans="1:16" x14ac:dyDescent="0.35">
      <c r="D3527">
        <f t="shared" ref="D3527:D3528" si="342">D3526</f>
        <v>85</v>
      </c>
      <c r="E3527" s="12">
        <f t="shared" si="340"/>
        <v>2.8109028960817715</v>
      </c>
      <c r="F3527" s="10">
        <f>F3516</f>
        <v>2E-3</v>
      </c>
      <c r="G3527" s="10">
        <f>G3526</f>
        <v>-3.1945788964181994E-2</v>
      </c>
      <c r="H3527" s="12">
        <f t="shared" si="341"/>
        <v>0.1873712364212663</v>
      </c>
      <c r="J3527" s="10">
        <f>1000*D3527/SUM(O$3517:P$3517)</f>
        <v>8.2284607938044527E-2</v>
      </c>
      <c r="K3527" s="13">
        <f t="shared" si="337"/>
        <v>6.9941916747337851</v>
      </c>
    </row>
    <row r="3528" spans="1:16" x14ac:dyDescent="0.35">
      <c r="D3528">
        <f t="shared" si="342"/>
        <v>85</v>
      </c>
      <c r="E3528" s="12">
        <f t="shared" si="340"/>
        <v>2.8109028960817715</v>
      </c>
      <c r="F3528" s="10">
        <f>F3517</f>
        <v>-2E-3</v>
      </c>
      <c r="G3528" s="10">
        <f>G3527</f>
        <v>-3.1945788964181994E-2</v>
      </c>
      <c r="H3528" s="12">
        <f t="shared" si="341"/>
        <v>0.18324345326541014</v>
      </c>
      <c r="J3528" s="10">
        <f>1000*D3528/SUM(O$3517:P$3517)</f>
        <v>8.2284607938044527E-2</v>
      </c>
      <c r="K3528" s="13">
        <f t="shared" si="337"/>
        <v>6.9941916747337851</v>
      </c>
    </row>
    <row r="3529" spans="1:16" x14ac:dyDescent="0.35">
      <c r="E3529" s="12"/>
      <c r="F3529" s="10"/>
      <c r="G3529" s="10"/>
      <c r="H3529" s="12"/>
      <c r="J3529" s="10"/>
      <c r="K3529" s="13"/>
    </row>
    <row r="3530" spans="1:16" s="5" customFormat="1" x14ac:dyDescent="0.35">
      <c r="A3530" s="86" t="s">
        <v>8298</v>
      </c>
    </row>
    <row r="3532" spans="1:16" x14ac:dyDescent="0.35">
      <c r="B3532" s="83" t="s">
        <v>2619</v>
      </c>
      <c r="D3532" t="s">
        <v>8299</v>
      </c>
    </row>
    <row r="3534" spans="1:16" x14ac:dyDescent="0.35">
      <c r="B3534" s="83" t="s">
        <v>2662</v>
      </c>
      <c r="D3534" t="s">
        <v>8288</v>
      </c>
    </row>
    <row r="3536" spans="1:16" x14ac:dyDescent="0.35">
      <c r="B3536" s="83" t="s">
        <v>4572</v>
      </c>
      <c r="D3536" s="177" t="s">
        <v>8301</v>
      </c>
    </row>
    <row r="3537" spans="1:18" x14ac:dyDescent="0.35">
      <c r="D3537" s="177" t="s">
        <v>8302</v>
      </c>
    </row>
    <row r="3538" spans="1:18" x14ac:dyDescent="0.35">
      <c r="D3538" s="177" t="s">
        <v>8303</v>
      </c>
    </row>
    <row r="3539" spans="1:18" x14ac:dyDescent="0.35">
      <c r="D3539" s="177" t="s">
        <v>8304</v>
      </c>
    </row>
    <row r="3540" spans="1:18" x14ac:dyDescent="0.35">
      <c r="D3540" s="177" t="s">
        <v>8305</v>
      </c>
    </row>
    <row r="3541" spans="1:18" x14ac:dyDescent="0.35">
      <c r="D3541" s="177"/>
    </row>
    <row r="3542" spans="1:18" x14ac:dyDescent="0.35">
      <c r="B3542" s="83" t="s">
        <v>4414</v>
      </c>
      <c r="D3542" t="s">
        <v>8300</v>
      </c>
    </row>
    <row r="3544" spans="1:18" s="5" customFormat="1" x14ac:dyDescent="0.35">
      <c r="A3544" s="86" t="s">
        <v>8180</v>
      </c>
    </row>
    <row r="3545" spans="1:18" x14ac:dyDescent="0.35">
      <c r="E3545" s="12"/>
      <c r="F3545" s="10"/>
      <c r="G3545" s="10"/>
      <c r="H3545" s="12"/>
      <c r="J3545" s="10"/>
      <c r="K3545" s="13"/>
    </row>
    <row r="3546" spans="1:18" x14ac:dyDescent="0.35">
      <c r="B3546" s="83" t="s">
        <v>2619</v>
      </c>
      <c r="D3546" t="s">
        <v>8178</v>
      </c>
      <c r="E3546" s="12"/>
      <c r="F3546" s="10"/>
      <c r="G3546" s="10"/>
      <c r="H3546" s="12"/>
      <c r="J3546" s="10"/>
      <c r="K3546" s="13"/>
    </row>
    <row r="3547" spans="1:18" x14ac:dyDescent="0.35">
      <c r="D3547" t="s">
        <v>8179</v>
      </c>
      <c r="E3547" s="12"/>
      <c r="F3547" s="10"/>
      <c r="G3547" s="10"/>
      <c r="H3547" s="12"/>
      <c r="J3547" s="10"/>
      <c r="K3547" s="13"/>
    </row>
    <row r="3548" spans="1:18" x14ac:dyDescent="0.35">
      <c r="E3548" s="12"/>
      <c r="F3548" s="10"/>
      <c r="G3548" s="10"/>
      <c r="H3548" s="12"/>
      <c r="J3548" s="10"/>
      <c r="K3548" s="13"/>
    </row>
    <row r="3549" spans="1:18" x14ac:dyDescent="0.35">
      <c r="B3549" s="83" t="s">
        <v>1840</v>
      </c>
      <c r="D3549" t="s">
        <v>99</v>
      </c>
      <c r="E3549" s="12"/>
      <c r="F3549" t="s">
        <v>8155</v>
      </c>
      <c r="H3549" s="10"/>
      <c r="J3549" s="10"/>
      <c r="K3549" s="13"/>
      <c r="P3549" s="1" t="s">
        <v>8152</v>
      </c>
      <c r="R3549" t="s">
        <v>0</v>
      </c>
    </row>
    <row r="3550" spans="1:18" x14ac:dyDescent="0.35">
      <c r="E3550" s="12"/>
      <c r="G3550" s="10"/>
      <c r="H3550" s="10"/>
      <c r="J3550" s="10"/>
      <c r="K3550" s="13"/>
      <c r="R3550" s="1"/>
    </row>
    <row r="3551" spans="1:18" ht="36.5" x14ac:dyDescent="0.35">
      <c r="D3551" s="123" t="s">
        <v>8176</v>
      </c>
      <c r="E3551" s="12"/>
      <c r="F3551" s="123" t="s">
        <v>8159</v>
      </c>
      <c r="G3551" s="123" t="s">
        <v>8156</v>
      </c>
      <c r="H3551" s="123" t="s">
        <v>8157</v>
      </c>
      <c r="I3551" s="123" t="s">
        <v>8158</v>
      </c>
      <c r="J3551" s="123" t="s">
        <v>8181</v>
      </c>
      <c r="L3551" s="123" t="s">
        <v>8161</v>
      </c>
      <c r="M3551" s="123" t="s">
        <v>8160</v>
      </c>
      <c r="N3551" s="123" t="s">
        <v>8162</v>
      </c>
      <c r="O3551" s="123" t="s">
        <v>8177</v>
      </c>
    </row>
    <row r="3552" spans="1:18" x14ac:dyDescent="0.35">
      <c r="D3552">
        <v>-25</v>
      </c>
      <c r="E3552" s="12"/>
      <c r="F3552" s="852">
        <f>F3169</f>
        <v>0.22020531964535695</v>
      </c>
      <c r="G3552" s="889">
        <v>87559</v>
      </c>
      <c r="H3552" s="15">
        <f t="shared" ref="H3552:H3557" si="343">1000000*F3552/G3552</f>
        <v>2.5149364388053419</v>
      </c>
      <c r="I3552" s="10">
        <f>H3552*0.000001*D$3439+F3552</f>
        <v>0.29565341280951718</v>
      </c>
      <c r="J3552" s="13">
        <f>F3552*H3552</f>
        <v>0.55380238239488599</v>
      </c>
      <c r="L3552" s="15">
        <f>(87559-68200)/5</f>
        <v>3871.8</v>
      </c>
      <c r="M3552" s="15">
        <f t="shared" ref="M3552:M3557" si="344">G3552*0.01</f>
        <v>875.59</v>
      </c>
      <c r="N3552" s="12">
        <f>M3552/L3552</f>
        <v>0.22614546205899064</v>
      </c>
      <c r="O3552" s="162">
        <f t="shared" ref="O3552:O3557" si="345">M3552*H3552</f>
        <v>2202.0531964535694</v>
      </c>
    </row>
    <row r="3553" spans="1:28" x14ac:dyDescent="0.35">
      <c r="D3553">
        <v>0</v>
      </c>
      <c r="E3553" s="12"/>
      <c r="F3553" s="10">
        <f>F$3552</f>
        <v>0.22020531964535695</v>
      </c>
      <c r="G3553" s="162">
        <v>27219</v>
      </c>
      <c r="H3553" s="15">
        <f t="shared" si="343"/>
        <v>8.0901326149144701</v>
      </c>
      <c r="I3553" s="10">
        <f t="shared" ref="I3553:I3557" si="346">H3553*0.000001*D$3439+F3553</f>
        <v>0.46290929809279102</v>
      </c>
      <c r="J3553" s="13">
        <f t="shared" ref="J3553:J3557" si="347">F3553*H3553</f>
        <v>1.7814902384405684</v>
      </c>
      <c r="L3553" s="15">
        <f>(27219-22021)/5</f>
        <v>1039.5999999999999</v>
      </c>
      <c r="M3553" s="15">
        <f t="shared" si="344"/>
        <v>272.19</v>
      </c>
      <c r="N3553" s="12">
        <f t="shared" ref="N3553:N3557" si="348">M3553/L3553</f>
        <v>0.26182185455944595</v>
      </c>
      <c r="O3553" s="162">
        <f t="shared" si="345"/>
        <v>2202.0531964535694</v>
      </c>
    </row>
    <row r="3554" spans="1:28" x14ac:dyDescent="0.35">
      <c r="D3554">
        <v>25</v>
      </c>
      <c r="E3554" s="12"/>
      <c r="F3554" s="10">
        <f>F$3552</f>
        <v>0.22020531964535695</v>
      </c>
      <c r="G3554" s="162">
        <v>10000</v>
      </c>
      <c r="H3554" s="15">
        <f t="shared" si="343"/>
        <v>22.020531964535692</v>
      </c>
      <c r="I3554" s="10">
        <f t="shared" si="346"/>
        <v>0.88082127858142767</v>
      </c>
      <c r="J3554" s="13">
        <f t="shared" si="347"/>
        <v>4.8490382800113823</v>
      </c>
      <c r="L3554" s="15">
        <f>(10000-8315)/5</f>
        <v>337</v>
      </c>
      <c r="M3554" s="15">
        <f t="shared" si="344"/>
        <v>100</v>
      </c>
      <c r="N3554" s="12">
        <f t="shared" si="348"/>
        <v>0.29673590504451036</v>
      </c>
      <c r="O3554" s="162">
        <f t="shared" si="345"/>
        <v>2202.0531964535694</v>
      </c>
      <c r="R3554" t="s">
        <v>0</v>
      </c>
    </row>
    <row r="3555" spans="1:28" x14ac:dyDescent="0.35">
      <c r="D3555">
        <v>70</v>
      </c>
      <c r="E3555" s="12"/>
      <c r="F3555" s="10">
        <f>F$3552</f>
        <v>0.22020531964535695</v>
      </c>
      <c r="G3555" s="162">
        <v>2228</v>
      </c>
      <c r="H3555" s="15">
        <f t="shared" si="343"/>
        <v>98.835421743876537</v>
      </c>
      <c r="I3555" s="10">
        <f t="shared" si="346"/>
        <v>3.1852679719616526</v>
      </c>
      <c r="J3555" s="13">
        <f t="shared" si="347"/>
        <v>21.764085637393997</v>
      </c>
      <c r="L3555" s="15">
        <f>(2228-1925)/5</f>
        <v>60.6</v>
      </c>
      <c r="M3555" s="15">
        <f t="shared" si="344"/>
        <v>22.28</v>
      </c>
      <c r="N3555" s="12">
        <f t="shared" si="348"/>
        <v>0.36765676567656769</v>
      </c>
      <c r="O3555" s="162">
        <f t="shared" si="345"/>
        <v>2202.0531964535694</v>
      </c>
    </row>
    <row r="3556" spans="1:28" x14ac:dyDescent="0.35">
      <c r="D3556">
        <v>85</v>
      </c>
      <c r="E3556" s="12"/>
      <c r="F3556" s="890">
        <f>F3161</f>
        <v>8.2922860187867001E-2</v>
      </c>
      <c r="G3556" s="162">
        <v>1452</v>
      </c>
      <c r="H3556" s="15">
        <f t="shared" si="343"/>
        <v>57.109407842883613</v>
      </c>
      <c r="I3556" s="10">
        <f t="shared" si="346"/>
        <v>1.7962050954743753</v>
      </c>
      <c r="J3556" s="13">
        <f t="shared" si="347"/>
        <v>4.735675441967313</v>
      </c>
      <c r="L3556" s="15">
        <f>(1452-1268)/5</f>
        <v>36.799999999999997</v>
      </c>
      <c r="M3556" s="15">
        <f t="shared" si="344"/>
        <v>14.52</v>
      </c>
      <c r="N3556" s="12">
        <f>M3556/L3556</f>
        <v>0.39456521739130435</v>
      </c>
      <c r="O3556" s="162">
        <f t="shared" si="345"/>
        <v>829.22860187867002</v>
      </c>
    </row>
    <row r="3557" spans="1:28" x14ac:dyDescent="0.35">
      <c r="D3557">
        <v>125</v>
      </c>
      <c r="E3557" s="12"/>
      <c r="F3557" s="890">
        <f>F3162</f>
        <v>1.1481626795243125E-2</v>
      </c>
      <c r="G3557" s="162">
        <v>531</v>
      </c>
      <c r="H3557" s="15">
        <f t="shared" si="343"/>
        <v>21.622649331907954</v>
      </c>
      <c r="I3557" s="10">
        <f t="shared" si="346"/>
        <v>0.66016110675248163</v>
      </c>
      <c r="J3557" s="13">
        <f t="shared" si="347"/>
        <v>0.24826318995338023</v>
      </c>
      <c r="L3557" s="15">
        <f>(531-474)/5</f>
        <v>11.4</v>
      </c>
      <c r="M3557" s="15">
        <f t="shared" si="344"/>
        <v>5.3100000000000005</v>
      </c>
      <c r="N3557" s="12">
        <f t="shared" si="348"/>
        <v>0.46578947368421053</v>
      </c>
      <c r="O3557" s="162">
        <f t="shared" si="345"/>
        <v>114.81626795243125</v>
      </c>
    </row>
    <row r="3558" spans="1:28" x14ac:dyDescent="0.35">
      <c r="E3558" s="12"/>
      <c r="F3558" s="10"/>
      <c r="G3558" s="10"/>
      <c r="H3558" s="12"/>
      <c r="J3558" s="10"/>
      <c r="K3558" s="13"/>
    </row>
    <row r="3559" spans="1:28" s="5" customFormat="1" x14ac:dyDescent="0.35">
      <c r="A3559" s="86" t="s">
        <v>9150</v>
      </c>
    </row>
    <row r="3560" spans="1:28" x14ac:dyDescent="0.35">
      <c r="D3560" s="335"/>
      <c r="E3560" s="335"/>
      <c r="F3560" s="335"/>
      <c r="R3560" s="162"/>
    </row>
    <row r="3561" spans="1:28" ht="24.5" x14ac:dyDescent="0.35">
      <c r="B3561" s="83" t="s">
        <v>3825</v>
      </c>
      <c r="D3561" s="123" t="s">
        <v>2076</v>
      </c>
      <c r="E3561" s="407"/>
      <c r="F3561" s="407"/>
      <c r="G3561" s="4"/>
      <c r="H3561" s="4"/>
      <c r="I3561" s="4"/>
      <c r="J3561" s="4"/>
      <c r="K3561" s="4"/>
      <c r="L3561" s="123" t="s">
        <v>3775</v>
      </c>
      <c r="M3561" s="123" t="s">
        <v>3827</v>
      </c>
      <c r="N3561" s="123" t="s">
        <v>3826</v>
      </c>
      <c r="O3561" s="123" t="s">
        <v>3776</v>
      </c>
      <c r="Q3561" s="307" t="s">
        <v>3806</v>
      </c>
      <c r="R3561" s="307" t="s">
        <v>3807</v>
      </c>
      <c r="S3561" s="307" t="s">
        <v>3808</v>
      </c>
      <c r="T3561" s="307" t="s">
        <v>3809</v>
      </c>
      <c r="V3561" s="307" t="s">
        <v>3803</v>
      </c>
      <c r="W3561" s="307" t="s">
        <v>3804</v>
      </c>
      <c r="X3561" s="307" t="s">
        <v>3805</v>
      </c>
      <c r="Y3561" s="307" t="s">
        <v>4501</v>
      </c>
      <c r="Z3561" s="307" t="s">
        <v>4502</v>
      </c>
      <c r="AB3561" s="123" t="s">
        <v>2662</v>
      </c>
    </row>
    <row r="3562" spans="1:28" x14ac:dyDescent="0.35">
      <c r="C3562" s="498" t="s">
        <v>9170</v>
      </c>
      <c r="D3562" s="417" t="s">
        <v>3800</v>
      </c>
      <c r="E3562" s="335"/>
      <c r="F3562" s="335"/>
      <c r="L3562" s="403">
        <f>0.27+2/10</f>
        <v>0.47000000000000003</v>
      </c>
      <c r="M3562" s="404">
        <v>0.5</v>
      </c>
      <c r="O3562" s="8">
        <f>0.88+0.22</f>
        <v>1.1000000000000001</v>
      </c>
      <c r="Q3562">
        <v>10</v>
      </c>
      <c r="R3562">
        <v>4</v>
      </c>
      <c r="S3562">
        <v>4</v>
      </c>
      <c r="T3562" s="15">
        <f>S3562*R3562*Q3562</f>
        <v>160</v>
      </c>
      <c r="V3562">
        <f>88/Q3562</f>
        <v>8.8000000000000007</v>
      </c>
      <c r="W3562">
        <f t="shared" ref="W3562:X3564" si="349">10/R3562</f>
        <v>2.5</v>
      </c>
      <c r="X3562">
        <f t="shared" si="349"/>
        <v>2.5</v>
      </c>
      <c r="Y3562" s="13">
        <f>MIN(V3562:X3562)</f>
        <v>2.5</v>
      </c>
      <c r="AB3562" t="s">
        <v>3773</v>
      </c>
    </row>
    <row r="3563" spans="1:28" x14ac:dyDescent="0.35">
      <c r="C3563" s="498" t="s">
        <v>9170</v>
      </c>
      <c r="D3563" s="417" t="s">
        <v>3774</v>
      </c>
      <c r="E3563" s="335"/>
      <c r="F3563" s="335"/>
      <c r="L3563" s="403">
        <f>2+2/6</f>
        <v>2.3333333333333335</v>
      </c>
      <c r="M3563" s="404">
        <v>0.7</v>
      </c>
      <c r="O3563" s="8">
        <f>0.35+0.35+0.35</f>
        <v>1.0499999999999998</v>
      </c>
      <c r="Q3563">
        <v>5</v>
      </c>
      <c r="R3563">
        <v>6</v>
      </c>
      <c r="S3563">
        <v>6</v>
      </c>
      <c r="T3563" s="15">
        <f t="shared" ref="T3563:T3566" si="350">S3563*R3563*Q3563</f>
        <v>180</v>
      </c>
      <c r="V3563" s="13">
        <f t="shared" ref="V3563:V3568" si="351">10/Q3563</f>
        <v>2</v>
      </c>
      <c r="W3563" s="13">
        <f t="shared" si="349"/>
        <v>1.6666666666666667</v>
      </c>
      <c r="X3563" s="13">
        <f t="shared" si="349"/>
        <v>1.6666666666666667</v>
      </c>
      <c r="Y3563" s="13">
        <f t="shared" ref="Y3563:Y3567" si="352">MIN(V3563:X3563)</f>
        <v>1.6666666666666667</v>
      </c>
      <c r="AB3563" t="s">
        <v>3772</v>
      </c>
    </row>
    <row r="3564" spans="1:28" x14ac:dyDescent="0.35">
      <c r="C3564" s="498" t="s">
        <v>9170</v>
      </c>
      <c r="D3564" s="417" t="s">
        <v>3799</v>
      </c>
      <c r="E3564" s="335"/>
      <c r="F3564" s="335"/>
      <c r="L3564" s="403">
        <v>0</v>
      </c>
      <c r="M3564" s="404">
        <v>1</v>
      </c>
      <c r="O3564" s="8">
        <f>0.35+0.35</f>
        <v>0.7</v>
      </c>
      <c r="Q3564">
        <v>5</v>
      </c>
      <c r="R3564">
        <v>6</v>
      </c>
      <c r="S3564">
        <v>6</v>
      </c>
      <c r="T3564" s="15">
        <f t="shared" si="350"/>
        <v>180</v>
      </c>
      <c r="V3564" s="13">
        <f t="shared" si="351"/>
        <v>2</v>
      </c>
      <c r="W3564" s="13">
        <f t="shared" si="349"/>
        <v>1.6666666666666667</v>
      </c>
      <c r="X3564" s="13">
        <f t="shared" si="349"/>
        <v>1.6666666666666667</v>
      </c>
      <c r="Y3564" s="13">
        <f t="shared" si="352"/>
        <v>1.6666666666666667</v>
      </c>
      <c r="AB3564" t="s">
        <v>3798</v>
      </c>
    </row>
    <row r="3565" spans="1:28" x14ac:dyDescent="0.35">
      <c r="C3565" s="498" t="s">
        <v>9170</v>
      </c>
      <c r="D3565" s="417" t="s">
        <v>3802</v>
      </c>
      <c r="E3565" s="335"/>
      <c r="F3565" s="335"/>
      <c r="L3565" s="403">
        <v>0</v>
      </c>
      <c r="M3565" s="404">
        <v>0.5</v>
      </c>
      <c r="O3565" s="8">
        <f>0.57+0.22+0.35+0.35</f>
        <v>1.4899999999999998</v>
      </c>
      <c r="Q3565">
        <v>3</v>
      </c>
      <c r="R3565">
        <v>3</v>
      </c>
      <c r="S3565">
        <v>16</v>
      </c>
      <c r="T3565" s="15">
        <f t="shared" si="350"/>
        <v>144</v>
      </c>
      <c r="V3565" s="13">
        <f t="shared" si="351"/>
        <v>3.3333333333333335</v>
      </c>
      <c r="W3565" s="13">
        <f t="shared" ref="W3565:W3569" si="353">10/R3565</f>
        <v>3.3333333333333335</v>
      </c>
      <c r="X3565" s="13">
        <f t="shared" ref="X3565:X3569" si="354">100/S3565</f>
        <v>6.25</v>
      </c>
      <c r="Y3565" s="13">
        <f t="shared" si="352"/>
        <v>3.3333333333333335</v>
      </c>
      <c r="AB3565" t="s">
        <v>3801</v>
      </c>
    </row>
    <row r="3566" spans="1:28" x14ac:dyDescent="0.35">
      <c r="C3566" s="498" t="s">
        <v>9170</v>
      </c>
      <c r="D3566" s="417" t="s">
        <v>3810</v>
      </c>
      <c r="E3566" s="335"/>
      <c r="F3566" s="335"/>
      <c r="L3566" s="403"/>
      <c r="M3566" s="404"/>
      <c r="O3566" s="8"/>
      <c r="Q3566">
        <v>2.6</v>
      </c>
      <c r="R3566">
        <v>2.6</v>
      </c>
      <c r="S3566">
        <v>24</v>
      </c>
      <c r="T3566" s="15">
        <f t="shared" si="350"/>
        <v>162.24</v>
      </c>
      <c r="V3566" s="13">
        <f t="shared" si="351"/>
        <v>3.8461538461538458</v>
      </c>
      <c r="W3566" s="13">
        <f t="shared" si="353"/>
        <v>3.8461538461538458</v>
      </c>
      <c r="X3566" s="13">
        <f t="shared" si="354"/>
        <v>4.166666666666667</v>
      </c>
      <c r="Y3566" s="13">
        <f t="shared" si="352"/>
        <v>3.8461538461538458</v>
      </c>
    </row>
    <row r="3567" spans="1:28" x14ac:dyDescent="0.35">
      <c r="C3567" s="498" t="s">
        <v>9170</v>
      </c>
      <c r="D3567" s="417" t="s">
        <v>3824</v>
      </c>
      <c r="E3567" s="335"/>
      <c r="F3567" s="335"/>
      <c r="L3567" s="403">
        <v>0</v>
      </c>
      <c r="M3567" s="404">
        <v>0.4</v>
      </c>
      <c r="N3567">
        <v>0.15</v>
      </c>
      <c r="O3567" s="8">
        <f>0.57+0.22+0.35+0.35</f>
        <v>1.4899999999999998</v>
      </c>
      <c r="Q3567">
        <v>2.2000000000000002</v>
      </c>
      <c r="R3567">
        <v>2.2000000000000002</v>
      </c>
      <c r="S3567">
        <v>20</v>
      </c>
      <c r="T3567" s="15">
        <f t="shared" ref="T3567" si="355">S3567*R3567*Q3567</f>
        <v>96.800000000000011</v>
      </c>
      <c r="V3567" s="13">
        <f t="shared" si="351"/>
        <v>4.545454545454545</v>
      </c>
      <c r="W3567" s="13">
        <f t="shared" si="353"/>
        <v>4.545454545454545</v>
      </c>
      <c r="X3567" s="13">
        <f t="shared" si="354"/>
        <v>5</v>
      </c>
      <c r="Y3567" s="13">
        <f t="shared" si="352"/>
        <v>4.545454545454545</v>
      </c>
      <c r="AB3567" t="s">
        <v>3823</v>
      </c>
    </row>
    <row r="3568" spans="1:28" x14ac:dyDescent="0.35">
      <c r="C3568" s="498" t="s">
        <v>9170</v>
      </c>
      <c r="D3568" s="417" t="s">
        <v>4490</v>
      </c>
      <c r="E3568" s="335"/>
      <c r="F3568" s="335"/>
      <c r="L3568" s="12">
        <v>-20</v>
      </c>
      <c r="M3568" s="404">
        <v>0.3</v>
      </c>
      <c r="N3568">
        <v>0.12</v>
      </c>
      <c r="O3568" s="8">
        <f>0.57+0.22+0.35+0.35</f>
        <v>1.4899999999999998</v>
      </c>
      <c r="Q3568" s="12">
        <f>G3643</f>
        <v>1.62</v>
      </c>
      <c r="R3568" s="12">
        <f>M3643</f>
        <v>-1.6129032258064515</v>
      </c>
      <c r="S3568" s="12">
        <f>S3643</f>
        <v>17.93548387096774</v>
      </c>
      <c r="T3568" s="15">
        <f t="shared" ref="T3568" si="356">S3568*R3568*Q3568</f>
        <v>-46.863683662851194</v>
      </c>
      <c r="V3568" s="13">
        <f t="shared" si="351"/>
        <v>6.1728395061728394</v>
      </c>
      <c r="W3568" s="13">
        <f t="shared" si="353"/>
        <v>-6.2</v>
      </c>
      <c r="X3568" s="13">
        <f t="shared" si="354"/>
        <v>5.5755395683453246</v>
      </c>
      <c r="Y3568" s="13">
        <f t="shared" ref="Y3568" si="357">MIN(V3568:X3568)</f>
        <v>-6.2</v>
      </c>
      <c r="AB3568" t="s">
        <v>4455</v>
      </c>
    </row>
    <row r="3569" spans="2:28" x14ac:dyDescent="0.35">
      <c r="C3569" s="498" t="s">
        <v>9170</v>
      </c>
      <c r="D3569" s="417" t="s">
        <v>4489</v>
      </c>
      <c r="E3569" s="335"/>
      <c r="F3569" s="335"/>
      <c r="L3569" s="12">
        <v>0</v>
      </c>
      <c r="M3569" s="449" t="s">
        <v>4479</v>
      </c>
      <c r="N3569" s="73" t="s">
        <v>4479</v>
      </c>
      <c r="O3569" s="450" t="s">
        <v>4479</v>
      </c>
      <c r="Q3569" s="12">
        <f>G3615</f>
        <v>3</v>
      </c>
      <c r="R3569" s="12">
        <f>M3615</f>
        <v>-3.0303030303030303</v>
      </c>
      <c r="S3569" s="12">
        <f>S3615</f>
        <v>11</v>
      </c>
      <c r="T3569" s="15">
        <f t="shared" ref="T3569" si="358">S3569*R3569*Q3569</f>
        <v>-100</v>
      </c>
      <c r="V3569" s="13">
        <f t="shared" ref="V3569" si="359">10/Q3569</f>
        <v>3.3333333333333335</v>
      </c>
      <c r="W3569" s="13">
        <f t="shared" si="353"/>
        <v>-3.3</v>
      </c>
      <c r="X3569" s="13">
        <f t="shared" si="354"/>
        <v>9.0909090909090917</v>
      </c>
      <c r="Y3569" s="13">
        <f t="shared" ref="Y3569" si="360">MIN(V3569:X3569)</f>
        <v>-3.3</v>
      </c>
      <c r="AB3569" t="s">
        <v>4481</v>
      </c>
    </row>
    <row r="3570" spans="2:28" x14ac:dyDescent="0.35">
      <c r="C3570" s="498" t="s">
        <v>9170</v>
      </c>
      <c r="D3570" s="417" t="s">
        <v>4488</v>
      </c>
      <c r="E3570" s="335"/>
      <c r="F3570" s="335"/>
      <c r="L3570" s="12">
        <v>0</v>
      </c>
      <c r="M3570" s="449">
        <v>0.3</v>
      </c>
      <c r="N3570" s="73">
        <v>0.2</v>
      </c>
      <c r="O3570" s="450">
        <f>(2*0.14)+0.49+0.58+(11*0.04)</f>
        <v>1.79</v>
      </c>
      <c r="Q3570" s="12">
        <f>G3587</f>
        <v>2.2749999999999999</v>
      </c>
      <c r="R3570" s="12">
        <f>M3587</f>
        <v>-2.3937499999999998</v>
      </c>
      <c r="S3570" s="12">
        <f>S3587</f>
        <v>-21.052219321148826</v>
      </c>
      <c r="T3570" s="15">
        <f t="shared" ref="T3570:T3571" si="361">S3570*R3570*Q3570</f>
        <v>114.64578124999998</v>
      </c>
      <c r="V3570" s="13">
        <f>10/Q3570</f>
        <v>4.395604395604396</v>
      </c>
      <c r="W3570" s="13">
        <f>10/R3570</f>
        <v>-4.1775456919060057</v>
      </c>
      <c r="X3570" s="13">
        <f>100/S3570</f>
        <v>-4.7500930174872877</v>
      </c>
      <c r="Y3570" s="13">
        <f>MIN(V3570:X3570)</f>
        <v>-4.7500930174872877</v>
      </c>
      <c r="Z3570">
        <v>1.3</v>
      </c>
      <c r="AB3570" t="s">
        <v>4529</v>
      </c>
    </row>
    <row r="3571" spans="2:28" x14ac:dyDescent="0.35">
      <c r="C3571" s="498" t="s">
        <v>9165</v>
      </c>
      <c r="D3571" s="417" t="s">
        <v>9149</v>
      </c>
      <c r="E3571" s="335"/>
      <c r="F3571" s="335"/>
      <c r="L3571" s="12">
        <v>-4</v>
      </c>
      <c r="M3571" s="449">
        <v>0.3</v>
      </c>
      <c r="N3571" s="73"/>
      <c r="O3571" s="450"/>
      <c r="Q3571" s="12">
        <f>G3587</f>
        <v>2.2749999999999999</v>
      </c>
      <c r="R3571" s="12">
        <f>M3587</f>
        <v>-2.3937499999999998</v>
      </c>
      <c r="S3571" s="12">
        <f>S3587</f>
        <v>-21.052219321148826</v>
      </c>
      <c r="T3571" s="15">
        <f t="shared" si="361"/>
        <v>114.64578124999998</v>
      </c>
      <c r="V3571" s="13">
        <f>10/Q3571</f>
        <v>4.395604395604396</v>
      </c>
      <c r="W3571" s="13">
        <f>10/R3571</f>
        <v>-4.1775456919060057</v>
      </c>
      <c r="X3571" s="13">
        <f>100/S3571</f>
        <v>-4.7500930174872877</v>
      </c>
      <c r="Y3571" s="13">
        <f>MIN(V3570:X3570)</f>
        <v>-4.7500930174872877</v>
      </c>
      <c r="Z3571">
        <v>1.5</v>
      </c>
      <c r="AB3571" s="417" t="s">
        <v>9142</v>
      </c>
    </row>
    <row r="3572" spans="2:28" x14ac:dyDescent="0.35">
      <c r="D3572" s="335"/>
      <c r="E3572" s="335"/>
      <c r="F3572" s="335"/>
      <c r="N3572" s="403"/>
      <c r="O3572" s="404"/>
      <c r="Q3572" s="8"/>
      <c r="V3572" s="15"/>
      <c r="X3572" s="13"/>
      <c r="Y3572" s="13"/>
      <c r="Z3572" s="13"/>
    </row>
    <row r="3573" spans="2:28" x14ac:dyDescent="0.35">
      <c r="B3573" s="83" t="s">
        <v>9148</v>
      </c>
      <c r="D3573" s="335"/>
      <c r="E3573" s="335"/>
      <c r="F3573" s="335"/>
      <c r="K3573" s="295" t="s">
        <v>9143</v>
      </c>
      <c r="L3573" s="295"/>
      <c r="N3573" s="403"/>
      <c r="O3573" s="404"/>
      <c r="Q3573" s="8"/>
    </row>
    <row r="3574" spans="2:28" x14ac:dyDescent="0.35">
      <c r="D3574" s="335"/>
      <c r="E3574" s="335"/>
      <c r="F3574" s="335"/>
      <c r="K3574" s="295" t="s">
        <v>9144</v>
      </c>
      <c r="L3574" s="295" t="s">
        <v>9145</v>
      </c>
      <c r="N3574" s="403"/>
      <c r="O3574" s="404"/>
      <c r="Q3574" s="8"/>
    </row>
    <row r="3575" spans="2:28" x14ac:dyDescent="0.35">
      <c r="D3575" s="335"/>
      <c r="E3575" s="335"/>
      <c r="F3575" s="335"/>
      <c r="K3575" s="295" t="s">
        <v>9147</v>
      </c>
      <c r="L3575" s="295" t="str">
        <f>L3574</f>
        <v>Tlv9064 G=2, 2mVos, $0.22, 10MHz, Vin -0.1 to (Vcc+0.1), Vout 20mV to (Vcc-20mV)</v>
      </c>
      <c r="N3575" s="403"/>
      <c r="O3575" s="404"/>
      <c r="Q3575" s="8"/>
    </row>
    <row r="3576" spans="2:28" x14ac:dyDescent="0.35">
      <c r="D3576" s="335"/>
      <c r="E3576" s="335"/>
      <c r="F3576" s="335"/>
      <c r="K3576" s="295" t="s">
        <v>9146</v>
      </c>
      <c r="L3576" s="295" t="s">
        <v>7032</v>
      </c>
      <c r="N3576" s="403"/>
      <c r="O3576" s="404"/>
      <c r="Q3576" s="8"/>
    </row>
    <row r="3577" spans="2:28" x14ac:dyDescent="0.35">
      <c r="D3577" s="335"/>
      <c r="E3577" s="335"/>
      <c r="F3577" s="335"/>
      <c r="J3577" s="295"/>
      <c r="N3577" s="403"/>
      <c r="O3577" s="404"/>
      <c r="Q3577" s="8"/>
      <c r="V3577" s="13"/>
      <c r="W3577" s="13"/>
      <c r="X3577" s="13"/>
      <c r="Y3577" s="13"/>
      <c r="Z3577" s="13"/>
    </row>
    <row r="3578" spans="2:28" x14ac:dyDescent="0.35">
      <c r="D3578" s="10" t="s">
        <v>4167</v>
      </c>
      <c r="E3578" s="162">
        <v>10000</v>
      </c>
      <c r="H3578" s="13"/>
      <c r="I3578" s="13" t="s">
        <v>4167</v>
      </c>
      <c r="J3578" s="457">
        <v>6900</v>
      </c>
      <c r="N3578" s="205"/>
      <c r="O3578" s="951" t="s">
        <v>4492</v>
      </c>
      <c r="P3578" s="205" t="s">
        <v>4491</v>
      </c>
      <c r="Q3578" s="951" t="s">
        <v>4493</v>
      </c>
      <c r="R3578" s="205" t="s">
        <v>7595</v>
      </c>
      <c r="S3578" s="951" t="s">
        <v>4494</v>
      </c>
      <c r="T3578" s="205" t="s">
        <v>7596</v>
      </c>
      <c r="U3578" s="104"/>
      <c r="V3578" s="13"/>
      <c r="W3578" s="13"/>
      <c r="X3578" s="13"/>
      <c r="Y3578" s="13"/>
      <c r="Z3578" s="13"/>
    </row>
    <row r="3579" spans="2:28" x14ac:dyDescent="0.35">
      <c r="D3579" s="15" t="s">
        <v>4170</v>
      </c>
      <c r="E3579">
        <v>220</v>
      </c>
      <c r="H3579" s="13"/>
      <c r="I3579" s="13" t="s">
        <v>4171</v>
      </c>
      <c r="J3579" s="398">
        <v>102</v>
      </c>
      <c r="N3579" t="s">
        <v>199</v>
      </c>
      <c r="O3579" s="952">
        <v>20</v>
      </c>
      <c r="P3579" s="451">
        <f>MAX(H3587:H3601)</f>
        <v>43.224999999999994</v>
      </c>
      <c r="Q3579" s="952">
        <f>P3579</f>
        <v>43.224999999999994</v>
      </c>
      <c r="R3579" s="454">
        <f>-MIN(N3587:N3601)</f>
        <v>110.25734374999998</v>
      </c>
      <c r="S3579" s="956">
        <f>R3579</f>
        <v>110.25734374999998</v>
      </c>
      <c r="T3579" s="15">
        <f>MAX(T3587:T3601)</f>
        <v>3291.0791980057402</v>
      </c>
      <c r="U3579" s="958"/>
      <c r="V3579" s="13"/>
      <c r="W3579" s="13"/>
      <c r="X3579" s="13"/>
      <c r="Y3579" s="13"/>
      <c r="Z3579" s="13"/>
    </row>
    <row r="3580" spans="2:28" x14ac:dyDescent="0.35">
      <c r="D3580" s="15" t="s">
        <v>4169</v>
      </c>
      <c r="E3580" s="10">
        <f>E3578*E3579/1000000</f>
        <v>2.2000000000000002</v>
      </c>
      <c r="H3580" s="13"/>
      <c r="I3580" s="13" t="s">
        <v>4172</v>
      </c>
      <c r="J3580" s="11">
        <f>3.3*J3579/(J3578+J3579)</f>
        <v>4.8071979434447298E-2</v>
      </c>
      <c r="N3580" t="s">
        <v>40</v>
      </c>
      <c r="O3580" s="953">
        <v>102</v>
      </c>
      <c r="P3580" s="452">
        <v>160</v>
      </c>
      <c r="Q3580" s="953">
        <f>P3580</f>
        <v>160</v>
      </c>
      <c r="R3580" s="452">
        <v>383</v>
      </c>
      <c r="S3580" s="953">
        <f>R3580</f>
        <v>383</v>
      </c>
      <c r="T3580" s="456">
        <v>7680</v>
      </c>
      <c r="U3580" s="958"/>
      <c r="V3580" s="13"/>
      <c r="W3580" s="13"/>
      <c r="X3580" s="13"/>
      <c r="Y3580" s="13"/>
      <c r="Z3580" s="13"/>
    </row>
    <row r="3581" spans="2:28" x14ac:dyDescent="0.35">
      <c r="D3581" s="15" t="s">
        <v>4168</v>
      </c>
      <c r="E3581" s="10">
        <f>1/(6.28*E3580)</f>
        <v>7.2379849449913131E-2</v>
      </c>
      <c r="G3581" s="13"/>
      <c r="H3581" s="13"/>
      <c r="I3581" s="13" t="s">
        <v>2188</v>
      </c>
      <c r="J3581" s="15">
        <f>1000000*2.5/SUM(J3578:J3579)</f>
        <v>357.04084547272208</v>
      </c>
      <c r="N3581" t="s">
        <v>1834</v>
      </c>
      <c r="O3581" s="954">
        <f t="shared" ref="O3581:T3581" si="362">O3579/O3580</f>
        <v>0.19607843137254902</v>
      </c>
      <c r="P3581" s="403">
        <f t="shared" si="362"/>
        <v>0.27015624999999999</v>
      </c>
      <c r="Q3581" s="954">
        <f t="shared" si="362"/>
        <v>0.27015624999999999</v>
      </c>
      <c r="R3581" s="403">
        <f t="shared" si="362"/>
        <v>0.28787818211488242</v>
      </c>
      <c r="S3581" s="954">
        <f t="shared" si="362"/>
        <v>0.28787818211488242</v>
      </c>
      <c r="T3581" s="403">
        <f t="shared" si="362"/>
        <v>0.42852593724033078</v>
      </c>
      <c r="U3581" s="104"/>
      <c r="V3581" s="13"/>
      <c r="W3581" s="13"/>
      <c r="X3581" s="13"/>
      <c r="Y3581" s="13"/>
      <c r="Z3581" s="13"/>
      <c r="AA3581" s="10"/>
    </row>
    <row r="3582" spans="2:28" x14ac:dyDescent="0.35">
      <c r="E3582" s="15"/>
      <c r="G3582" s="13"/>
      <c r="H3582" s="13"/>
      <c r="I3582" s="13" t="s">
        <v>4173</v>
      </c>
      <c r="J3582">
        <v>10</v>
      </c>
      <c r="N3582" t="s">
        <v>4496</v>
      </c>
      <c r="O3582" s="957"/>
      <c r="Q3582" s="955"/>
      <c r="S3582" s="104"/>
      <c r="T3582">
        <v>3</v>
      </c>
      <c r="U3582" s="958"/>
      <c r="V3582" s="10"/>
      <c r="Y3582" s="13"/>
      <c r="Z3582" s="13"/>
      <c r="AA3582" s="10"/>
    </row>
    <row r="3583" spans="2:28" x14ac:dyDescent="0.35">
      <c r="D3583" s="335"/>
      <c r="E3583" s="335"/>
      <c r="F3583" s="335"/>
      <c r="I3583" s="13" t="s">
        <v>4174</v>
      </c>
      <c r="J3583" s="424">
        <f>1000000/(6.28*J3578*J3582)</f>
        <v>2.307763315794332</v>
      </c>
      <c r="N3583" s="13" t="s">
        <v>4497</v>
      </c>
      <c r="O3583" s="957"/>
      <c r="Q3583" s="955"/>
      <c r="S3583" s="104"/>
      <c r="T3583" s="13">
        <f>1/(6*T3580*T3582*0.000001)</f>
        <v>7.2337962962962958</v>
      </c>
      <c r="U3583" s="104"/>
    </row>
    <row r="3584" spans="2:28" x14ac:dyDescent="0.35">
      <c r="D3584" s="335"/>
      <c r="E3584" s="335"/>
      <c r="F3584" s="335"/>
      <c r="I3584" s="13"/>
      <c r="J3584" s="424"/>
      <c r="N3584" s="403"/>
      <c r="O3584" s="404"/>
      <c r="Q3584" s="8"/>
      <c r="T3584" s="309" t="s">
        <v>4495</v>
      </c>
    </row>
    <row r="3585" spans="4:20" x14ac:dyDescent="0.35">
      <c r="D3585" s="335"/>
      <c r="E3585" s="335"/>
      <c r="F3585" s="420"/>
      <c r="G3585" s="12">
        <v>1</v>
      </c>
      <c r="I3585" s="12"/>
      <c r="J3585" s="420"/>
      <c r="K3585" s="12">
        <v>1</v>
      </c>
      <c r="L3585" s="12"/>
      <c r="M3585" s="12">
        <v>1</v>
      </c>
      <c r="N3585" s="12"/>
      <c r="O3585" s="12"/>
      <c r="P3585" s="12"/>
      <c r="Q3585" s="421"/>
      <c r="R3585" s="12"/>
      <c r="S3585" s="12">
        <v>1</v>
      </c>
    </row>
    <row r="3586" spans="4:20" x14ac:dyDescent="0.35">
      <c r="D3586" s="333" t="s">
        <v>3814</v>
      </c>
      <c r="E3586" s="333" t="s">
        <v>3816</v>
      </c>
      <c r="F3586" s="333" t="s">
        <v>3811</v>
      </c>
      <c r="G3586" s="333" t="s">
        <v>3813</v>
      </c>
      <c r="H3586" s="333" t="s">
        <v>3812</v>
      </c>
      <c r="I3586" s="393"/>
      <c r="J3586" s="333" t="s">
        <v>3815</v>
      </c>
      <c r="K3586" s="333" t="s">
        <v>3817</v>
      </c>
      <c r="L3586" s="333" t="s">
        <v>3818</v>
      </c>
      <c r="M3586" s="333" t="s">
        <v>3819</v>
      </c>
      <c r="N3586" s="333" t="s">
        <v>3812</v>
      </c>
      <c r="P3586" s="333" t="s">
        <v>3828</v>
      </c>
      <c r="Q3586" s="333" t="s">
        <v>3829</v>
      </c>
      <c r="R3586" s="333" t="s">
        <v>3830</v>
      </c>
      <c r="S3586" s="333" t="s">
        <v>3831</v>
      </c>
      <c r="T3586" s="333" t="s">
        <v>3832</v>
      </c>
    </row>
    <row r="3587" spans="4:20" x14ac:dyDescent="0.35">
      <c r="D3587" s="406">
        <v>-4</v>
      </c>
      <c r="E3587" s="299">
        <v>0</v>
      </c>
      <c r="F3587" s="398">
        <v>-4</v>
      </c>
      <c r="G3587" s="453">
        <f>(1+2*O3580/P3580)</f>
        <v>2.2749999999999999</v>
      </c>
      <c r="H3587" s="13">
        <f>(D3587-(E3587+F3587))+((D3587-(E3587+F3587))*(G3587-1))</f>
        <v>0</v>
      </c>
      <c r="J3587" s="335">
        <f>H3587</f>
        <v>0</v>
      </c>
      <c r="K3587" s="422">
        <v>0</v>
      </c>
      <c r="L3587" s="398">
        <v>2</v>
      </c>
      <c r="M3587" s="453">
        <f>(-R3580/Q3580)*M3585</f>
        <v>-2.3937499999999998</v>
      </c>
      <c r="N3587" s="15">
        <f>(K3587+L3587)+((J3587-(K3587+L3587))*M3587)</f>
        <v>6.7874999999999996</v>
      </c>
      <c r="P3587" s="335">
        <f>N3587</f>
        <v>6.7874999999999996</v>
      </c>
      <c r="Q3587" s="422">
        <f>J3580*1000</f>
        <v>48.0719794344473</v>
      </c>
      <c r="R3587" s="398">
        <v>-2</v>
      </c>
      <c r="S3587" s="459">
        <f>-(1+T3580/S3580)*S$3641</f>
        <v>-21.052219321148826</v>
      </c>
      <c r="T3587" s="15">
        <f>(P3587-(Q3587+R3587))+((P3587-(Q3587+R3587))*(S3587-1))</f>
        <v>827.02547697114505</v>
      </c>
    </row>
    <row r="3588" spans="4:20" x14ac:dyDescent="0.35">
      <c r="D3588">
        <f t="shared" ref="D3588:D3590" si="363">D3587</f>
        <v>-4</v>
      </c>
      <c r="E3588">
        <f>E3587</f>
        <v>0</v>
      </c>
      <c r="F3588" s="398">
        <v>0</v>
      </c>
      <c r="G3588" s="12">
        <f>G3587</f>
        <v>2.2749999999999999</v>
      </c>
      <c r="H3588" s="13">
        <f t="shared" ref="H3588:H3590" si="364">(D3588-(E3588+F3588))+((D3588-(E3588+F3588))*(G3588-1))</f>
        <v>-9.1</v>
      </c>
      <c r="J3588" s="335">
        <f t="shared" ref="J3588:J3590" si="365">H3588</f>
        <v>-9.1</v>
      </c>
      <c r="K3588" s="13">
        <f>K3587</f>
        <v>0</v>
      </c>
      <c r="L3588" s="398">
        <v>0</v>
      </c>
      <c r="M3588" s="12">
        <f>M3587</f>
        <v>-2.3937499999999998</v>
      </c>
      <c r="N3588" s="15">
        <f t="shared" ref="N3588:N3590" si="366">(K3588+L3588)+((J3588-(K3588+L3588))*M3588)</f>
        <v>21.783124999999998</v>
      </c>
      <c r="P3588" s="335">
        <f t="shared" ref="P3588:P3590" si="367">N3588</f>
        <v>21.783124999999998</v>
      </c>
      <c r="Q3588" s="13">
        <f>Q3587</f>
        <v>48.0719794344473</v>
      </c>
      <c r="R3588" s="398">
        <v>0</v>
      </c>
      <c r="S3588" s="13">
        <f>S3587</f>
        <v>-21.052219321148826</v>
      </c>
      <c r="T3588" s="15">
        <f t="shared" ref="T3588:T3590" si="368">(P3588-(Q3588+R3588))+((P3588-(Q3588+R3588))*(S3588-1))</f>
        <v>553.43872925574044</v>
      </c>
    </row>
    <row r="3589" spans="4:20" x14ac:dyDescent="0.35">
      <c r="D3589">
        <f t="shared" si="363"/>
        <v>-4</v>
      </c>
      <c r="E3589">
        <f>E3588</f>
        <v>0</v>
      </c>
      <c r="F3589" s="398">
        <v>4</v>
      </c>
      <c r="G3589" s="12">
        <f>G3588</f>
        <v>2.2749999999999999</v>
      </c>
      <c r="H3589" s="13">
        <f t="shared" si="364"/>
        <v>-18.2</v>
      </c>
      <c r="J3589" s="335">
        <f t="shared" si="365"/>
        <v>-18.2</v>
      </c>
      <c r="K3589" s="13">
        <f>K3588</f>
        <v>0</v>
      </c>
      <c r="L3589" s="398">
        <v>2</v>
      </c>
      <c r="M3589" s="12">
        <f>M3588</f>
        <v>-2.3937499999999998</v>
      </c>
      <c r="N3589" s="15">
        <f t="shared" si="366"/>
        <v>50.353749999999998</v>
      </c>
      <c r="P3589" s="335">
        <f t="shared" si="367"/>
        <v>50.353749999999998</v>
      </c>
      <c r="Q3589" s="13">
        <f>Q3588</f>
        <v>48.0719794344473</v>
      </c>
      <c r="R3589" s="398">
        <v>2</v>
      </c>
      <c r="S3589" s="13">
        <f>S3588</f>
        <v>-21.052219321148826</v>
      </c>
      <c r="T3589" s="15">
        <f t="shared" si="368"/>
        <v>-5.9318957442595375</v>
      </c>
    </row>
    <row r="3590" spans="4:20" x14ac:dyDescent="0.35">
      <c r="D3590">
        <f t="shared" si="363"/>
        <v>-4</v>
      </c>
      <c r="E3590">
        <f>E3589</f>
        <v>0</v>
      </c>
      <c r="F3590" s="398">
        <v>-4</v>
      </c>
      <c r="G3590" s="12">
        <f>G3589</f>
        <v>2.2749999999999999</v>
      </c>
      <c r="H3590" s="13">
        <f t="shared" si="364"/>
        <v>0</v>
      </c>
      <c r="J3590" s="335">
        <f t="shared" si="365"/>
        <v>0</v>
      </c>
      <c r="K3590" s="13">
        <f>K3589</f>
        <v>0</v>
      </c>
      <c r="L3590" s="398">
        <v>-2</v>
      </c>
      <c r="M3590" s="12">
        <f>M3589</f>
        <v>-2.3937499999999998</v>
      </c>
      <c r="N3590" s="15">
        <f t="shared" si="366"/>
        <v>-6.7874999999999996</v>
      </c>
      <c r="P3590" s="335">
        <f t="shared" si="367"/>
        <v>-6.7874999999999996</v>
      </c>
      <c r="Q3590" s="13">
        <f>Q3589</f>
        <v>48.0719794344473</v>
      </c>
      <c r="R3590" s="398">
        <v>-2</v>
      </c>
      <c r="S3590" s="13">
        <f>S3589</f>
        <v>-21.052219321148826</v>
      </c>
      <c r="T3590" s="15">
        <f t="shared" si="368"/>
        <v>1112.8093542557403</v>
      </c>
    </row>
    <row r="3591" spans="4:20" x14ac:dyDescent="0.35">
      <c r="D3591" s="335"/>
      <c r="G3591" s="12"/>
      <c r="H3591" s="13"/>
      <c r="J3591" s="335"/>
      <c r="K3591" s="13"/>
      <c r="M3591" s="12"/>
      <c r="N3591" s="15"/>
      <c r="P3591" s="335"/>
      <c r="Q3591" s="13"/>
      <c r="S3591" s="13"/>
      <c r="T3591" s="15"/>
    </row>
    <row r="3592" spans="4:20" x14ac:dyDescent="0.35">
      <c r="D3592" s="405">
        <v>6</v>
      </c>
      <c r="E3592" s="95">
        <f>E3587</f>
        <v>0</v>
      </c>
      <c r="F3592">
        <f>F3587</f>
        <v>-4</v>
      </c>
      <c r="G3592" s="419">
        <f>G3587</f>
        <v>2.2749999999999999</v>
      </c>
      <c r="H3592" s="13">
        <f t="shared" ref="H3592:H3595" si="369">(D3592-(E3592+F3592))+((D3592-(E3592+F3592))*(G3592-1))</f>
        <v>22.75</v>
      </c>
      <c r="J3592" s="335">
        <f>H3592</f>
        <v>22.75</v>
      </c>
      <c r="K3592" s="423">
        <f>K3587</f>
        <v>0</v>
      </c>
      <c r="L3592">
        <f>L3587</f>
        <v>2</v>
      </c>
      <c r="M3592" s="419">
        <f>M3587</f>
        <v>-2.3937499999999998</v>
      </c>
      <c r="N3592" s="15">
        <f t="shared" ref="N3592:N3595" si="370">(K3592+L3592)+((J3592-(K3592+L3592))*M3592)</f>
        <v>-47.670312499999994</v>
      </c>
      <c r="P3592" s="335">
        <f>N3592</f>
        <v>-47.670312499999994</v>
      </c>
      <c r="Q3592" s="423">
        <f>Q3587</f>
        <v>48.0719794344473</v>
      </c>
      <c r="R3592">
        <f>R3587</f>
        <v>-2</v>
      </c>
      <c r="S3592" s="423">
        <f>S3587</f>
        <v>-21.052219321148826</v>
      </c>
      <c r="T3592" s="15">
        <f t="shared" ref="T3592:T3595" si="371">(P3592-(Q3592+R3592))+((P3592-(Q3592+R3592))*(S3592-1))</f>
        <v>1973.4832894711451</v>
      </c>
    </row>
    <row r="3593" spans="4:20" x14ac:dyDescent="0.35">
      <c r="D3593">
        <f t="shared" ref="D3593:D3595" si="372">D3592</f>
        <v>6</v>
      </c>
      <c r="E3593">
        <f>E3592</f>
        <v>0</v>
      </c>
      <c r="F3593">
        <f t="shared" ref="F3593:F3595" si="373">F3588</f>
        <v>0</v>
      </c>
      <c r="G3593" s="12">
        <f>G3592</f>
        <v>2.2749999999999999</v>
      </c>
      <c r="H3593" s="13">
        <f t="shared" si="369"/>
        <v>13.649999999999999</v>
      </c>
      <c r="J3593" s="335">
        <f t="shared" ref="J3593:J3595" si="374">H3593</f>
        <v>13.649999999999999</v>
      </c>
      <c r="K3593" s="13">
        <f>K3592</f>
        <v>0</v>
      </c>
      <c r="L3593">
        <f t="shared" ref="L3593:L3595" si="375">L3588</f>
        <v>0</v>
      </c>
      <c r="M3593" s="12">
        <f>M3592</f>
        <v>-2.3937499999999998</v>
      </c>
      <c r="N3593" s="15">
        <f t="shared" si="370"/>
        <v>-32.674687499999997</v>
      </c>
      <c r="P3593" s="335">
        <f t="shared" ref="P3593:P3595" si="376">N3593</f>
        <v>-32.674687499999997</v>
      </c>
      <c r="Q3593" s="13">
        <f>Q3592</f>
        <v>48.0719794344473</v>
      </c>
      <c r="R3593">
        <f t="shared" ref="R3593:R3595" si="377">R3588</f>
        <v>0</v>
      </c>
      <c r="S3593" s="13">
        <f>S3592</f>
        <v>-21.052219321148826</v>
      </c>
      <c r="T3593" s="15">
        <f t="shared" si="371"/>
        <v>1699.8965417557401</v>
      </c>
    </row>
    <row r="3594" spans="4:20" x14ac:dyDescent="0.35">
      <c r="D3594">
        <f t="shared" si="372"/>
        <v>6</v>
      </c>
      <c r="E3594">
        <f>E3593</f>
        <v>0</v>
      </c>
      <c r="F3594">
        <f t="shared" si="373"/>
        <v>4</v>
      </c>
      <c r="G3594" s="12">
        <f>G3593</f>
        <v>2.2749999999999999</v>
      </c>
      <c r="H3594" s="13">
        <f t="shared" si="369"/>
        <v>4.55</v>
      </c>
      <c r="J3594" s="335">
        <f t="shared" si="374"/>
        <v>4.55</v>
      </c>
      <c r="K3594" s="13">
        <f>K3593</f>
        <v>0</v>
      </c>
      <c r="L3594">
        <f t="shared" si="375"/>
        <v>2</v>
      </c>
      <c r="M3594" s="12">
        <f>M3593</f>
        <v>-2.3937499999999998</v>
      </c>
      <c r="N3594" s="15">
        <f t="shared" si="370"/>
        <v>-4.1040624999999995</v>
      </c>
      <c r="P3594" s="335">
        <f t="shared" si="376"/>
        <v>-4.1040624999999995</v>
      </c>
      <c r="Q3594" s="13">
        <f>Q3593</f>
        <v>48.0719794344473</v>
      </c>
      <c r="R3594">
        <f t="shared" si="377"/>
        <v>2</v>
      </c>
      <c r="S3594" s="13">
        <f>S3593</f>
        <v>-21.052219321148826</v>
      </c>
      <c r="T3594" s="15">
        <f t="shared" si="371"/>
        <v>1140.5259167557404</v>
      </c>
    </row>
    <row r="3595" spans="4:20" x14ac:dyDescent="0.35">
      <c r="D3595">
        <f t="shared" si="372"/>
        <v>6</v>
      </c>
      <c r="E3595">
        <f>E3594</f>
        <v>0</v>
      </c>
      <c r="F3595">
        <f t="shared" si="373"/>
        <v>-4</v>
      </c>
      <c r="G3595" s="12">
        <f>G3594</f>
        <v>2.2749999999999999</v>
      </c>
      <c r="H3595" s="13">
        <f t="shared" si="369"/>
        <v>22.75</v>
      </c>
      <c r="J3595" s="335">
        <f t="shared" si="374"/>
        <v>22.75</v>
      </c>
      <c r="K3595" s="13">
        <f>K3594</f>
        <v>0</v>
      </c>
      <c r="L3595">
        <f t="shared" si="375"/>
        <v>-2</v>
      </c>
      <c r="M3595" s="12">
        <f>M3594</f>
        <v>-2.3937499999999998</v>
      </c>
      <c r="N3595" s="15">
        <f t="shared" si="370"/>
        <v>-61.245312499999997</v>
      </c>
      <c r="P3595" s="335">
        <f t="shared" si="376"/>
        <v>-61.245312499999997</v>
      </c>
      <c r="Q3595" s="13">
        <f>Q3594</f>
        <v>48.0719794344473</v>
      </c>
      <c r="R3595">
        <f t="shared" si="377"/>
        <v>-2</v>
      </c>
      <c r="S3595" s="13">
        <f>S3594</f>
        <v>-21.052219321148826</v>
      </c>
      <c r="T3595" s="15">
        <f t="shared" si="371"/>
        <v>2259.2671667557402</v>
      </c>
    </row>
    <row r="3596" spans="4:20" x14ac:dyDescent="0.35">
      <c r="G3596" s="12"/>
      <c r="H3596" s="13"/>
      <c r="J3596" s="335"/>
      <c r="K3596" s="13"/>
      <c r="M3596" s="12"/>
      <c r="N3596" s="15"/>
      <c r="P3596" s="335"/>
      <c r="Q3596" s="13"/>
      <c r="S3596" s="13"/>
      <c r="T3596" s="15"/>
    </row>
    <row r="3597" spans="4:20" x14ac:dyDescent="0.35">
      <c r="D3597" s="406">
        <v>15</v>
      </c>
      <c r="E3597" s="95">
        <f>E3587</f>
        <v>0</v>
      </c>
      <c r="F3597">
        <f>F3587</f>
        <v>-4</v>
      </c>
      <c r="G3597" s="419">
        <f>G3587</f>
        <v>2.2749999999999999</v>
      </c>
      <c r="H3597" s="13">
        <f t="shared" ref="H3597:H3601" si="378">(D3597-(E3597+F3597))+((D3597-(E3597+F3597))*(G3597-1))</f>
        <v>43.224999999999994</v>
      </c>
      <c r="J3597" s="335">
        <f>H3597</f>
        <v>43.224999999999994</v>
      </c>
      <c r="K3597" s="423">
        <f>K3587</f>
        <v>0</v>
      </c>
      <c r="L3597">
        <f>L3587</f>
        <v>2</v>
      </c>
      <c r="M3597" s="419">
        <f>M3587</f>
        <v>-2.3937499999999998</v>
      </c>
      <c r="N3597" s="15">
        <f t="shared" ref="N3597:N3601" si="379">(K3597+L3597)+((J3597-(K3597+L3597))*M3597)</f>
        <v>-96.682343749999973</v>
      </c>
      <c r="P3597" s="335">
        <f>N3597</f>
        <v>-96.682343749999973</v>
      </c>
      <c r="Q3597" s="423">
        <f>Q3587</f>
        <v>48.0719794344473</v>
      </c>
      <c r="R3597">
        <f>R3587</f>
        <v>-2</v>
      </c>
      <c r="S3597" s="423">
        <f>S3587</f>
        <v>-21.052219321148826</v>
      </c>
      <c r="T3597" s="15">
        <f t="shared" ref="T3597:T3601" si="380">(P3597-(Q3597+R3597))+((P3597-(Q3597+R3597))*(S3597-1))</f>
        <v>3005.2953207211449</v>
      </c>
    </row>
    <row r="3598" spans="4:20" x14ac:dyDescent="0.35">
      <c r="D3598" s="162">
        <f>D3597</f>
        <v>15</v>
      </c>
      <c r="E3598">
        <f>E3596</f>
        <v>0</v>
      </c>
      <c r="F3598">
        <f>F3594</f>
        <v>4</v>
      </c>
      <c r="G3598" s="12">
        <f>G3597</f>
        <v>2.2749999999999999</v>
      </c>
      <c r="H3598" s="13">
        <f t="shared" si="378"/>
        <v>25.024999999999999</v>
      </c>
      <c r="J3598" s="335">
        <f t="shared" ref="J3598:J3601" si="381">H3598</f>
        <v>25.024999999999999</v>
      </c>
      <c r="K3598" s="13">
        <f>K3597</f>
        <v>0</v>
      </c>
      <c r="L3598">
        <v>2</v>
      </c>
      <c r="M3598" s="12">
        <f>M3597</f>
        <v>-2.3937499999999998</v>
      </c>
      <c r="N3598" s="15">
        <f t="shared" si="379"/>
        <v>-53.11609374999999</v>
      </c>
      <c r="P3598" s="335">
        <f t="shared" ref="P3598:P3601" si="382">N3598</f>
        <v>-53.11609374999999</v>
      </c>
      <c r="Q3598" s="13">
        <f>Q3597</f>
        <v>48.0719794344473</v>
      </c>
      <c r="R3598">
        <f>R3587</f>
        <v>-2</v>
      </c>
      <c r="S3598" s="13">
        <f>S3597</f>
        <v>-21.052219321148826</v>
      </c>
      <c r="T3598" s="15">
        <f t="shared" si="380"/>
        <v>2088.1290707211451</v>
      </c>
    </row>
    <row r="3599" spans="4:20" x14ac:dyDescent="0.35">
      <c r="D3599">
        <f>D3597</f>
        <v>15</v>
      </c>
      <c r="E3599">
        <f>E3597</f>
        <v>0</v>
      </c>
      <c r="F3599">
        <f>F3588</f>
        <v>0</v>
      </c>
      <c r="G3599" s="12">
        <f>G3597</f>
        <v>2.2749999999999999</v>
      </c>
      <c r="H3599" s="13">
        <f t="shared" si="378"/>
        <v>34.125</v>
      </c>
      <c r="J3599" s="335">
        <f t="shared" si="381"/>
        <v>34.125</v>
      </c>
      <c r="K3599" s="13">
        <f>K3597</f>
        <v>0</v>
      </c>
      <c r="L3599">
        <f>L3588</f>
        <v>0</v>
      </c>
      <c r="M3599" s="12">
        <f>M3597</f>
        <v>-2.3937499999999998</v>
      </c>
      <c r="N3599" s="15">
        <f t="shared" si="379"/>
        <v>-81.686718749999997</v>
      </c>
      <c r="P3599" s="335">
        <f t="shared" si="382"/>
        <v>-81.686718749999997</v>
      </c>
      <c r="Q3599" s="13">
        <f>Q3597</f>
        <v>48.0719794344473</v>
      </c>
      <c r="R3599">
        <f>R3588</f>
        <v>0</v>
      </c>
      <c r="S3599" s="13">
        <f>S3597</f>
        <v>-21.052219321148826</v>
      </c>
      <c r="T3599" s="15">
        <f t="shared" si="380"/>
        <v>2731.7085730057402</v>
      </c>
    </row>
    <row r="3600" spans="4:20" x14ac:dyDescent="0.35">
      <c r="D3600">
        <f t="shared" ref="D3600:D3601" si="383">D3599</f>
        <v>15</v>
      </c>
      <c r="E3600">
        <f>E3599</f>
        <v>0</v>
      </c>
      <c r="F3600">
        <f>F3589</f>
        <v>4</v>
      </c>
      <c r="G3600" s="12">
        <f>G3599</f>
        <v>2.2749999999999999</v>
      </c>
      <c r="H3600" s="13">
        <f t="shared" si="378"/>
        <v>25.024999999999999</v>
      </c>
      <c r="J3600" s="335">
        <f t="shared" si="381"/>
        <v>25.024999999999999</v>
      </c>
      <c r="K3600" s="13">
        <f>K3599</f>
        <v>0</v>
      </c>
      <c r="L3600">
        <f>L3589</f>
        <v>2</v>
      </c>
      <c r="M3600" s="12">
        <f>M3599</f>
        <v>-2.3937499999999998</v>
      </c>
      <c r="N3600" s="15">
        <f t="shared" si="379"/>
        <v>-53.11609374999999</v>
      </c>
      <c r="P3600" s="335">
        <f t="shared" si="382"/>
        <v>-53.11609374999999</v>
      </c>
      <c r="Q3600" s="13">
        <f>Q3599</f>
        <v>48.0719794344473</v>
      </c>
      <c r="R3600">
        <f>R3589</f>
        <v>2</v>
      </c>
      <c r="S3600" s="13">
        <f>S3599</f>
        <v>-21.052219321148826</v>
      </c>
      <c r="T3600" s="15">
        <f t="shared" si="380"/>
        <v>2172.3379480057406</v>
      </c>
    </row>
    <row r="3601" spans="2:27" x14ac:dyDescent="0.35">
      <c r="D3601">
        <f t="shared" si="383"/>
        <v>15</v>
      </c>
      <c r="E3601">
        <f>E3600</f>
        <v>0</v>
      </c>
      <c r="F3601">
        <f>F3590</f>
        <v>-4</v>
      </c>
      <c r="G3601" s="12">
        <f>G3600</f>
        <v>2.2749999999999999</v>
      </c>
      <c r="H3601" s="13">
        <f t="shared" si="378"/>
        <v>43.224999999999994</v>
      </c>
      <c r="J3601" s="335">
        <f t="shared" si="381"/>
        <v>43.224999999999994</v>
      </c>
      <c r="K3601" s="13">
        <f>K3600</f>
        <v>0</v>
      </c>
      <c r="L3601">
        <f>L3590</f>
        <v>-2</v>
      </c>
      <c r="M3601" s="12">
        <f>M3600</f>
        <v>-2.3937499999999998</v>
      </c>
      <c r="N3601" s="15">
        <f t="shared" si="379"/>
        <v>-110.25734374999998</v>
      </c>
      <c r="P3601" s="335">
        <f t="shared" si="382"/>
        <v>-110.25734374999998</v>
      </c>
      <c r="Q3601" s="13">
        <f>Q3600</f>
        <v>48.0719794344473</v>
      </c>
      <c r="R3601">
        <f>R3590</f>
        <v>-2</v>
      </c>
      <c r="S3601" s="13">
        <f>S3600</f>
        <v>-21.052219321148826</v>
      </c>
      <c r="T3601" s="15">
        <f t="shared" si="380"/>
        <v>3291.0791980057402</v>
      </c>
      <c r="U3601" s="170"/>
    </row>
    <row r="3602" spans="2:27" x14ac:dyDescent="0.35">
      <c r="G3602" s="12"/>
      <c r="H3602" s="13"/>
      <c r="J3602" s="335"/>
      <c r="K3602" s="13"/>
      <c r="M3602" s="12"/>
      <c r="N3602" s="15"/>
      <c r="P3602" s="335"/>
      <c r="S3602" s="13"/>
      <c r="T3602" s="15"/>
      <c r="U3602" s="170"/>
    </row>
    <row r="3603" spans="2:27" x14ac:dyDescent="0.35">
      <c r="B3603" s="83" t="s">
        <v>4487</v>
      </c>
      <c r="D3603" s="335"/>
      <c r="E3603" s="335"/>
      <c r="F3603" s="335"/>
      <c r="K3603" s="295" t="s">
        <v>4480</v>
      </c>
      <c r="N3603" s="403"/>
      <c r="O3603" s="404"/>
      <c r="Q3603" s="8"/>
    </row>
    <row r="3604" spans="2:27" x14ac:dyDescent="0.35">
      <c r="D3604" s="335"/>
      <c r="E3604" s="335"/>
      <c r="F3604" s="335"/>
      <c r="K3604" s="295" t="s">
        <v>4163</v>
      </c>
      <c r="N3604" s="403"/>
      <c r="O3604" s="404"/>
      <c r="Q3604" s="8"/>
    </row>
    <row r="3605" spans="2:27" x14ac:dyDescent="0.35">
      <c r="D3605" s="335"/>
      <c r="E3605" s="335"/>
      <c r="F3605" s="335"/>
      <c r="K3605" s="295" t="s">
        <v>4162</v>
      </c>
      <c r="N3605" s="403"/>
      <c r="O3605" s="404"/>
      <c r="Q3605" s="8"/>
    </row>
    <row r="3606" spans="2:27" x14ac:dyDescent="0.35">
      <c r="D3606" s="335"/>
      <c r="E3606" s="335"/>
      <c r="F3606" s="335"/>
      <c r="J3606" s="295"/>
      <c r="N3606" s="403"/>
      <c r="O3606" s="404"/>
      <c r="Q3606" s="8"/>
    </row>
    <row r="3607" spans="2:27" x14ac:dyDescent="0.35">
      <c r="D3607" s="10" t="s">
        <v>4167</v>
      </c>
      <c r="E3607" s="162">
        <v>10000</v>
      </c>
      <c r="H3607" s="13"/>
      <c r="I3607" s="13" t="s">
        <v>4167</v>
      </c>
      <c r="J3607" s="457">
        <v>6340</v>
      </c>
      <c r="N3607" t="s">
        <v>199</v>
      </c>
      <c r="O3607" s="451">
        <v>20</v>
      </c>
      <c r="P3607" s="451">
        <f>MAX(H3615:H3629)</f>
        <v>54</v>
      </c>
      <c r="Q3607" s="451">
        <f>P3607</f>
        <v>54</v>
      </c>
      <c r="R3607" s="454">
        <f>MAX(N3615:N3629)</f>
        <v>219.06192358366269</v>
      </c>
      <c r="S3607" s="455">
        <f>R3607</f>
        <v>219.06192358366269</v>
      </c>
      <c r="T3607" s="15">
        <f>MAX(T3615:T3629)</f>
        <v>2299.6811594202895</v>
      </c>
      <c r="V3607" s="451">
        <f>K3615</f>
        <v>38.81987577639751</v>
      </c>
    </row>
    <row r="3608" spans="2:27" x14ac:dyDescent="0.35">
      <c r="D3608" s="15" t="s">
        <v>4170</v>
      </c>
      <c r="E3608">
        <v>220</v>
      </c>
      <c r="H3608" s="13"/>
      <c r="I3608" s="13" t="s">
        <v>4171</v>
      </c>
      <c r="J3608" s="398">
        <v>100</v>
      </c>
      <c r="N3608" t="s">
        <v>40</v>
      </c>
      <c r="O3608" s="452">
        <v>100</v>
      </c>
      <c r="P3608" s="452">
        <v>300</v>
      </c>
      <c r="Q3608" s="452">
        <v>330</v>
      </c>
      <c r="R3608" s="452">
        <v>1000</v>
      </c>
      <c r="S3608" s="452">
        <v>1000</v>
      </c>
      <c r="T3608" s="456">
        <v>10000</v>
      </c>
      <c r="U3608" s="15"/>
      <c r="V3608" s="458">
        <f>J3608</f>
        <v>100</v>
      </c>
      <c r="Y3608" s="13"/>
      <c r="Z3608" s="13"/>
      <c r="AA3608" s="10"/>
    </row>
    <row r="3609" spans="2:27" x14ac:dyDescent="0.35">
      <c r="D3609" s="15" t="s">
        <v>4169</v>
      </c>
      <c r="E3609" s="10">
        <f>E3607*E3608/1000000</f>
        <v>2.2000000000000002</v>
      </c>
      <c r="H3609" s="13"/>
      <c r="I3609" s="13" t="s">
        <v>4172</v>
      </c>
      <c r="J3609" s="11">
        <f>2.5*J3608/(J3607+J3608)</f>
        <v>3.8819875776397512E-2</v>
      </c>
      <c r="N3609" t="s">
        <v>1834</v>
      </c>
      <c r="O3609" s="403">
        <f>O3607/O3608</f>
        <v>0.2</v>
      </c>
      <c r="P3609" s="403">
        <f>P3607/P3608</f>
        <v>0.18</v>
      </c>
      <c r="Q3609" s="403">
        <f>Q3607/Q3608</f>
        <v>0.16363636363636364</v>
      </c>
      <c r="R3609" s="403">
        <f>R3607/R3608</f>
        <v>0.21906192358366269</v>
      </c>
      <c r="S3609" s="403">
        <f t="shared" ref="S3609:T3609" si="384">S3607/S3608</f>
        <v>0.21906192358366269</v>
      </c>
      <c r="T3609" s="403">
        <f t="shared" si="384"/>
        <v>0.22996811594202896</v>
      </c>
      <c r="U3609" s="15"/>
      <c r="V3609" s="403">
        <f>V3607/V3608</f>
        <v>0.38819875776397511</v>
      </c>
      <c r="Y3609" s="13"/>
      <c r="Z3609" s="13"/>
      <c r="AA3609" s="10"/>
    </row>
    <row r="3610" spans="2:27" x14ac:dyDescent="0.35">
      <c r="D3610" s="15" t="s">
        <v>4168</v>
      </c>
      <c r="E3610" s="10">
        <f>1/(6.28*E3609)</f>
        <v>7.2379849449913131E-2</v>
      </c>
      <c r="G3610" s="13"/>
      <c r="H3610" s="13"/>
      <c r="I3610" s="13" t="s">
        <v>4173</v>
      </c>
      <c r="J3610">
        <v>10</v>
      </c>
      <c r="N3610" s="403"/>
      <c r="O3610" s="404"/>
      <c r="Q3610" s="8"/>
      <c r="U3610" s="15"/>
      <c r="V3610" s="10"/>
      <c r="Y3610" s="13"/>
      <c r="Z3610" s="13"/>
      <c r="AA3610" s="10"/>
    </row>
    <row r="3611" spans="2:27" x14ac:dyDescent="0.35">
      <c r="E3611" s="15"/>
      <c r="G3611" s="13"/>
      <c r="H3611" s="13"/>
      <c r="I3611" s="13" t="s">
        <v>4174</v>
      </c>
      <c r="J3611" s="424">
        <f>1000000/(6.28*J3607*J3610)</f>
        <v>2.5116036086720648</v>
      </c>
      <c r="N3611" s="403"/>
      <c r="O3611" s="404"/>
      <c r="Q3611" s="8"/>
      <c r="U3611" s="15"/>
      <c r="V3611" s="10"/>
      <c r="Y3611" s="13"/>
      <c r="Z3611" s="13"/>
      <c r="AA3611" s="10"/>
    </row>
    <row r="3612" spans="2:27" x14ac:dyDescent="0.35">
      <c r="D3612" s="335"/>
      <c r="E3612" s="335"/>
      <c r="F3612" s="335"/>
      <c r="J3612" s="295"/>
      <c r="N3612" s="403"/>
      <c r="O3612" s="404"/>
      <c r="Q3612" s="8"/>
    </row>
    <row r="3613" spans="2:27" x14ac:dyDescent="0.35">
      <c r="D3613" s="335"/>
      <c r="E3613" s="335"/>
      <c r="F3613" s="420"/>
      <c r="G3613" s="12">
        <v>1</v>
      </c>
      <c r="I3613" s="12"/>
      <c r="J3613" s="420"/>
      <c r="K3613" s="12">
        <v>1</v>
      </c>
      <c r="L3613" s="12"/>
      <c r="M3613" s="12">
        <v>1</v>
      </c>
      <c r="N3613" s="12"/>
      <c r="O3613" s="12"/>
      <c r="P3613" s="12"/>
      <c r="Q3613" s="421"/>
      <c r="R3613" s="12"/>
      <c r="S3613" s="12">
        <v>1</v>
      </c>
    </row>
    <row r="3614" spans="2:27" x14ac:dyDescent="0.35">
      <c r="D3614" s="333" t="s">
        <v>3814</v>
      </c>
      <c r="E3614" s="333" t="s">
        <v>3816</v>
      </c>
      <c r="F3614" s="333" t="s">
        <v>3811</v>
      </c>
      <c r="G3614" s="333" t="s">
        <v>3813</v>
      </c>
      <c r="H3614" s="333" t="s">
        <v>3812</v>
      </c>
      <c r="I3614" s="393"/>
      <c r="J3614" s="333" t="s">
        <v>3815</v>
      </c>
      <c r="K3614" s="333" t="s">
        <v>3817</v>
      </c>
      <c r="L3614" s="333" t="s">
        <v>3818</v>
      </c>
      <c r="M3614" s="333" t="s">
        <v>3819</v>
      </c>
      <c r="N3614" s="333" t="s">
        <v>3812</v>
      </c>
      <c r="P3614" s="333" t="s">
        <v>3828</v>
      </c>
      <c r="Q3614" s="333" t="s">
        <v>3829</v>
      </c>
      <c r="R3614" s="333" t="s">
        <v>3830</v>
      </c>
      <c r="S3614" s="333" t="s">
        <v>3831</v>
      </c>
      <c r="T3614" s="333" t="s">
        <v>3832</v>
      </c>
    </row>
    <row r="3615" spans="2:27" x14ac:dyDescent="0.35">
      <c r="D3615" s="406">
        <v>0</v>
      </c>
      <c r="E3615" s="299">
        <v>0</v>
      </c>
      <c r="F3615" s="398">
        <v>-6</v>
      </c>
      <c r="G3615" s="453">
        <f>(P3608/O3608)*G$3613</f>
        <v>3</v>
      </c>
      <c r="H3615" s="13">
        <f>(D3615-(E3615+F3615))+((D3615-(E3615+F3615))*(G3615-1))</f>
        <v>18</v>
      </c>
      <c r="J3615" s="335">
        <f>H3615</f>
        <v>18</v>
      </c>
      <c r="K3615" s="422">
        <f>J3609*1000</f>
        <v>38.81987577639751</v>
      </c>
      <c r="L3615" s="398">
        <v>2</v>
      </c>
      <c r="M3615" s="453">
        <f>(-R3608/Q3608)*M3613</f>
        <v>-3.0303030303030303</v>
      </c>
      <c r="N3615" s="15">
        <f>(K3615+L3615)+((J3615-(K3615+L3615))*M3615)</f>
        <v>109.9710144927536</v>
      </c>
      <c r="P3615" s="335">
        <f>N3615</f>
        <v>109.9710144927536</v>
      </c>
      <c r="Q3615" s="299">
        <v>0</v>
      </c>
      <c r="R3615" s="398">
        <v>-10</v>
      </c>
      <c r="S3615" s="459">
        <f>(1+T3608/S3608)*S$3641</f>
        <v>11</v>
      </c>
      <c r="T3615" s="15">
        <f>(P3615-(Q3615+R3615))+((P3615-(Q3615+R3615))*(S3615-1))</f>
        <v>1319.6811594202895</v>
      </c>
    </row>
    <row r="3616" spans="2:27" x14ac:dyDescent="0.35">
      <c r="D3616">
        <f t="shared" ref="D3616:D3618" si="385">D3615</f>
        <v>0</v>
      </c>
      <c r="E3616">
        <f>E3615</f>
        <v>0</v>
      </c>
      <c r="F3616" s="398">
        <v>0</v>
      </c>
      <c r="G3616" s="12">
        <f>G3615</f>
        <v>3</v>
      </c>
      <c r="H3616" s="13">
        <f t="shared" ref="H3616:H3618" si="386">(D3616-(E3616+F3616))+((D3616-(E3616+F3616))*(G3616-1))</f>
        <v>0</v>
      </c>
      <c r="J3616" s="335">
        <f t="shared" ref="J3616:J3618" si="387">H3616</f>
        <v>0</v>
      </c>
      <c r="K3616" s="13">
        <f>K3615</f>
        <v>38.81987577639751</v>
      </c>
      <c r="L3616" s="398">
        <v>0</v>
      </c>
      <c r="M3616" s="12">
        <f>M3615</f>
        <v>-3.0303030303030303</v>
      </c>
      <c r="N3616" s="15">
        <f t="shared" ref="N3616:N3618" si="388">(K3616+L3616)+((J3616-(K3616+L3616))*M3616)</f>
        <v>156.45586297760207</v>
      </c>
      <c r="P3616" s="335">
        <f t="shared" ref="P3616:P3618" si="389">N3616</f>
        <v>156.45586297760207</v>
      </c>
      <c r="Q3616">
        <f>Q3615</f>
        <v>0</v>
      </c>
      <c r="R3616" s="398">
        <v>0</v>
      </c>
      <c r="S3616" s="13">
        <f>S3615</f>
        <v>11</v>
      </c>
      <c r="T3616" s="15">
        <f t="shared" ref="T3616:T3618" si="390">(P3616-(Q3616+R3616))+((P3616-(Q3616+R3616))*(S3616-1))</f>
        <v>1721.0144927536226</v>
      </c>
    </row>
    <row r="3617" spans="2:21" x14ac:dyDescent="0.35">
      <c r="D3617">
        <f t="shared" si="385"/>
        <v>0</v>
      </c>
      <c r="E3617">
        <f>E3616</f>
        <v>0</v>
      </c>
      <c r="F3617" s="398">
        <v>6</v>
      </c>
      <c r="G3617" s="12">
        <f>G3616</f>
        <v>3</v>
      </c>
      <c r="H3617" s="13">
        <f t="shared" si="386"/>
        <v>-18</v>
      </c>
      <c r="J3617" s="335">
        <f t="shared" si="387"/>
        <v>-18</v>
      </c>
      <c r="K3617" s="13">
        <f>K3616</f>
        <v>38.81987577639751</v>
      </c>
      <c r="L3617" s="398">
        <v>2</v>
      </c>
      <c r="M3617" s="12">
        <f>M3616</f>
        <v>-3.0303030303030303</v>
      </c>
      <c r="N3617" s="15">
        <f t="shared" si="388"/>
        <v>219.06192358366269</v>
      </c>
      <c r="P3617" s="335">
        <f t="shared" si="389"/>
        <v>219.06192358366269</v>
      </c>
      <c r="Q3617">
        <f>Q3616</f>
        <v>0</v>
      </c>
      <c r="R3617" s="398">
        <v>10</v>
      </c>
      <c r="S3617" s="13">
        <f>S3616</f>
        <v>11</v>
      </c>
      <c r="T3617" s="15">
        <f t="shared" si="390"/>
        <v>2299.6811594202895</v>
      </c>
    </row>
    <row r="3618" spans="2:21" x14ac:dyDescent="0.35">
      <c r="D3618">
        <f t="shared" si="385"/>
        <v>0</v>
      </c>
      <c r="E3618">
        <f>E3617</f>
        <v>0</v>
      </c>
      <c r="F3618" s="398">
        <v>-6</v>
      </c>
      <c r="G3618" s="12">
        <f>G3617</f>
        <v>3</v>
      </c>
      <c r="H3618" s="13">
        <f t="shared" si="386"/>
        <v>18</v>
      </c>
      <c r="J3618" s="335">
        <f t="shared" si="387"/>
        <v>18</v>
      </c>
      <c r="K3618" s="13">
        <f>K3617</f>
        <v>38.81987577639751</v>
      </c>
      <c r="L3618" s="398">
        <v>-2</v>
      </c>
      <c r="M3618" s="12">
        <f>M3617</f>
        <v>-3.0303030303030303</v>
      </c>
      <c r="N3618" s="15">
        <f t="shared" si="388"/>
        <v>93.849802371541472</v>
      </c>
      <c r="P3618" s="335">
        <f t="shared" si="389"/>
        <v>93.849802371541472</v>
      </c>
      <c r="Q3618">
        <f>Q3617</f>
        <v>0</v>
      </c>
      <c r="R3618" s="398">
        <v>-10</v>
      </c>
      <c r="S3618" s="13">
        <f>S3617</f>
        <v>11</v>
      </c>
      <c r="T3618" s="15">
        <f t="shared" si="390"/>
        <v>1142.3478260869563</v>
      </c>
    </row>
    <row r="3619" spans="2:21" x14ac:dyDescent="0.35">
      <c r="D3619" s="335"/>
      <c r="G3619" s="12"/>
      <c r="H3619" s="13"/>
      <c r="J3619" s="335"/>
      <c r="K3619" s="13"/>
      <c r="M3619" s="12"/>
      <c r="N3619" s="15"/>
      <c r="P3619" s="335"/>
      <c r="S3619" s="13"/>
      <c r="T3619" s="15"/>
    </row>
    <row r="3620" spans="2:21" x14ac:dyDescent="0.35">
      <c r="D3620" s="405">
        <v>6</v>
      </c>
      <c r="E3620" s="95">
        <f>E3615</f>
        <v>0</v>
      </c>
      <c r="F3620">
        <f>F3615</f>
        <v>-6</v>
      </c>
      <c r="G3620" s="419">
        <f>G3615</f>
        <v>3</v>
      </c>
      <c r="H3620" s="13">
        <f t="shared" ref="H3620:H3623" si="391">(D3620-(E3620+F3620))+((D3620-(E3620+F3620))*(G3620-1))</f>
        <v>36</v>
      </c>
      <c r="J3620" s="335">
        <f>H3620</f>
        <v>36</v>
      </c>
      <c r="K3620" s="423">
        <f>K3615</f>
        <v>38.81987577639751</v>
      </c>
      <c r="L3620">
        <f>L3615</f>
        <v>2</v>
      </c>
      <c r="M3620" s="419">
        <f>M3615</f>
        <v>-3.0303030303030303</v>
      </c>
      <c r="N3620" s="15">
        <f t="shared" ref="N3620:N3623" si="392">(K3620+L3620)+((J3620-(K3620+L3620))*M3620)</f>
        <v>55.42555994729905</v>
      </c>
      <c r="P3620" s="335">
        <f>N3620</f>
        <v>55.42555994729905</v>
      </c>
      <c r="Q3620" s="95">
        <f>Q3615</f>
        <v>0</v>
      </c>
      <c r="R3620">
        <f>R3615</f>
        <v>-10</v>
      </c>
      <c r="S3620" s="423">
        <f>S3615</f>
        <v>11</v>
      </c>
      <c r="T3620" s="15">
        <f t="shared" ref="T3620:T3623" si="393">(P3620-(Q3620+R3620))+((P3620-(Q3620+R3620))*(S3620-1))</f>
        <v>719.68115942028953</v>
      </c>
    </row>
    <row r="3621" spans="2:21" x14ac:dyDescent="0.35">
      <c r="D3621">
        <f t="shared" ref="D3621:D3623" si="394">D3620</f>
        <v>6</v>
      </c>
      <c r="E3621">
        <f>E3620</f>
        <v>0</v>
      </c>
      <c r="F3621">
        <f t="shared" ref="F3621:F3623" si="395">F3616</f>
        <v>0</v>
      </c>
      <c r="G3621" s="12">
        <f>G3620</f>
        <v>3</v>
      </c>
      <c r="H3621" s="13">
        <f t="shared" si="391"/>
        <v>18</v>
      </c>
      <c r="J3621" s="335">
        <f t="shared" ref="J3621:J3623" si="396">H3621</f>
        <v>18</v>
      </c>
      <c r="K3621" s="13">
        <f>K3620</f>
        <v>38.81987577639751</v>
      </c>
      <c r="L3621">
        <f t="shared" ref="L3621:L3623" si="397">L3616</f>
        <v>0</v>
      </c>
      <c r="M3621" s="12">
        <f>M3620</f>
        <v>-3.0303030303030303</v>
      </c>
      <c r="N3621" s="15">
        <f t="shared" si="392"/>
        <v>101.91040843214753</v>
      </c>
      <c r="P3621" s="335">
        <f t="shared" ref="P3621:P3623" si="398">N3621</f>
        <v>101.91040843214753</v>
      </c>
      <c r="Q3621">
        <f>Q3620</f>
        <v>0</v>
      </c>
      <c r="R3621">
        <f t="shared" ref="R3621:R3623" si="399">R3616</f>
        <v>0</v>
      </c>
      <c r="S3621" s="13">
        <f>S3620</f>
        <v>11</v>
      </c>
      <c r="T3621" s="15">
        <f t="shared" si="393"/>
        <v>1121.0144927536228</v>
      </c>
    </row>
    <row r="3622" spans="2:21" x14ac:dyDescent="0.35">
      <c r="D3622">
        <f t="shared" si="394"/>
        <v>6</v>
      </c>
      <c r="E3622">
        <f>E3621</f>
        <v>0</v>
      </c>
      <c r="F3622">
        <f t="shared" si="395"/>
        <v>6</v>
      </c>
      <c r="G3622" s="12">
        <f>G3621</f>
        <v>3</v>
      </c>
      <c r="H3622" s="13">
        <f t="shared" si="391"/>
        <v>0</v>
      </c>
      <c r="J3622" s="335">
        <f t="shared" si="396"/>
        <v>0</v>
      </c>
      <c r="K3622" s="13">
        <f>K3621</f>
        <v>38.81987577639751</v>
      </c>
      <c r="L3622">
        <f t="shared" si="397"/>
        <v>2</v>
      </c>
      <c r="M3622" s="12">
        <f>M3621</f>
        <v>-3.0303030303030303</v>
      </c>
      <c r="N3622" s="15">
        <f t="shared" si="392"/>
        <v>164.51646903820813</v>
      </c>
      <c r="P3622" s="335">
        <f t="shared" si="398"/>
        <v>164.51646903820813</v>
      </c>
      <c r="Q3622">
        <f>Q3621</f>
        <v>0</v>
      </c>
      <c r="R3622">
        <f t="shared" si="399"/>
        <v>10</v>
      </c>
      <c r="S3622" s="13">
        <f>S3621</f>
        <v>11</v>
      </c>
      <c r="T3622" s="15">
        <f t="shared" si="393"/>
        <v>1699.6811594202895</v>
      </c>
    </row>
    <row r="3623" spans="2:21" x14ac:dyDescent="0.35">
      <c r="D3623">
        <f t="shared" si="394"/>
        <v>6</v>
      </c>
      <c r="E3623">
        <f>E3622</f>
        <v>0</v>
      </c>
      <c r="F3623">
        <f t="shared" si="395"/>
        <v>-6</v>
      </c>
      <c r="G3623" s="12">
        <f>G3622</f>
        <v>3</v>
      </c>
      <c r="H3623" s="13">
        <f t="shared" si="391"/>
        <v>36</v>
      </c>
      <c r="J3623" s="335">
        <f t="shared" si="396"/>
        <v>36</v>
      </c>
      <c r="K3623" s="13">
        <f>K3622</f>
        <v>38.81987577639751</v>
      </c>
      <c r="L3623">
        <f t="shared" si="397"/>
        <v>-2</v>
      </c>
      <c r="M3623" s="12">
        <f>M3622</f>
        <v>-3.0303030303030303</v>
      </c>
      <c r="N3623" s="15">
        <f t="shared" si="392"/>
        <v>39.304347826086932</v>
      </c>
      <c r="P3623" s="335">
        <f t="shared" si="398"/>
        <v>39.304347826086932</v>
      </c>
      <c r="Q3623">
        <f>Q3622</f>
        <v>0</v>
      </c>
      <c r="R3623">
        <f t="shared" si="399"/>
        <v>-10</v>
      </c>
      <c r="S3623" s="13">
        <f>S3622</f>
        <v>11</v>
      </c>
      <c r="T3623" s="15">
        <f t="shared" si="393"/>
        <v>542.34782608695627</v>
      </c>
    </row>
    <row r="3624" spans="2:21" x14ac:dyDescent="0.35">
      <c r="G3624" s="12"/>
      <c r="H3624" s="13"/>
      <c r="J3624" s="335"/>
      <c r="K3624" s="13"/>
      <c r="M3624" s="12"/>
      <c r="N3624" s="15"/>
      <c r="P3624" s="335"/>
      <c r="S3624" s="13"/>
      <c r="T3624" s="15"/>
    </row>
    <row r="3625" spans="2:21" x14ac:dyDescent="0.35">
      <c r="D3625" s="406">
        <v>12</v>
      </c>
      <c r="E3625" s="95">
        <f>E3615</f>
        <v>0</v>
      </c>
      <c r="F3625">
        <f>F3615</f>
        <v>-6</v>
      </c>
      <c r="G3625" s="419">
        <f>G3615</f>
        <v>3</v>
      </c>
      <c r="H3625" s="13">
        <f t="shared" ref="H3625:H3629" si="400">(D3625-(E3625+F3625))+((D3625-(E3625+F3625))*(G3625-1))</f>
        <v>54</v>
      </c>
      <c r="J3625" s="335">
        <f>H3625</f>
        <v>54</v>
      </c>
      <c r="K3625" s="423">
        <f>K3615</f>
        <v>38.81987577639751</v>
      </c>
      <c r="L3625">
        <f>L3615</f>
        <v>2</v>
      </c>
      <c r="M3625" s="419">
        <f>M3615</f>
        <v>-3.0303030303030303</v>
      </c>
      <c r="N3625" s="15">
        <f t="shared" ref="N3625:N3629" si="401">(K3625+L3625)+((J3625-(K3625+L3625))*M3625)</f>
        <v>0.88010540184451003</v>
      </c>
      <c r="P3625" s="335">
        <f>N3625</f>
        <v>0.88010540184451003</v>
      </c>
      <c r="Q3625" s="95">
        <f>Q3615</f>
        <v>0</v>
      </c>
      <c r="R3625">
        <f>R3615</f>
        <v>-10</v>
      </c>
      <c r="S3625" s="423">
        <f>S3615</f>
        <v>11</v>
      </c>
      <c r="T3625" s="15">
        <f t="shared" ref="T3625:T3629" si="402">(P3625-(Q3625+R3625))+((P3625-(Q3625+R3625))*(S3625-1))</f>
        <v>119.68115942028962</v>
      </c>
    </row>
    <row r="3626" spans="2:21" x14ac:dyDescent="0.35">
      <c r="D3626" s="162">
        <f>D3625</f>
        <v>12</v>
      </c>
      <c r="E3626">
        <f>E3624</f>
        <v>0</v>
      </c>
      <c r="F3626">
        <v>6</v>
      </c>
      <c r="G3626" s="12">
        <f>G3625</f>
        <v>3</v>
      </c>
      <c r="H3626" s="13">
        <f t="shared" ref="H3626" si="403">(D3626-(E3626+F3626))+((D3626-(E3626+F3626))*(G3626-1))</f>
        <v>18</v>
      </c>
      <c r="J3626" s="335">
        <f t="shared" ref="J3626" si="404">H3626</f>
        <v>18</v>
      </c>
      <c r="K3626" s="13">
        <f>K3625</f>
        <v>38.81987577639751</v>
      </c>
      <c r="L3626">
        <v>2</v>
      </c>
      <c r="M3626" s="12">
        <f>M3625</f>
        <v>-3.0303030303030303</v>
      </c>
      <c r="N3626" s="15">
        <f t="shared" ref="N3626" si="405">(K3626+L3626)+((J3626-(K3626+L3626))*M3626)</f>
        <v>109.9710144927536</v>
      </c>
      <c r="P3626" s="335">
        <f t="shared" ref="P3626" si="406">N3626</f>
        <v>109.9710144927536</v>
      </c>
      <c r="Q3626">
        <f>Q3624</f>
        <v>0</v>
      </c>
      <c r="R3626">
        <v>-10</v>
      </c>
      <c r="S3626" s="13">
        <f>S3625</f>
        <v>11</v>
      </c>
      <c r="T3626" s="15">
        <f t="shared" ref="T3626" si="407">(P3626-(Q3626+R3626))+((P3626-(Q3626+R3626))*(S3626-1))</f>
        <v>1319.6811594202895</v>
      </c>
    </row>
    <row r="3627" spans="2:21" x14ac:dyDescent="0.35">
      <c r="D3627">
        <f>D3625</f>
        <v>12</v>
      </c>
      <c r="E3627">
        <f>E3625</f>
        <v>0</v>
      </c>
      <c r="F3627">
        <f>F3616</f>
        <v>0</v>
      </c>
      <c r="G3627" s="12">
        <f>G3625</f>
        <v>3</v>
      </c>
      <c r="H3627" s="13">
        <f t="shared" si="400"/>
        <v>36</v>
      </c>
      <c r="J3627" s="335">
        <f t="shared" ref="J3627:J3629" si="408">H3627</f>
        <v>36</v>
      </c>
      <c r="K3627" s="13">
        <f>K3625</f>
        <v>38.81987577639751</v>
      </c>
      <c r="L3627">
        <f>L3616</f>
        <v>0</v>
      </c>
      <c r="M3627" s="12">
        <f>M3625</f>
        <v>-3.0303030303030303</v>
      </c>
      <c r="N3627" s="15">
        <f t="shared" si="401"/>
        <v>47.364953886692994</v>
      </c>
      <c r="P3627" s="335">
        <f t="shared" ref="P3627:P3629" si="409">N3627</f>
        <v>47.364953886692994</v>
      </c>
      <c r="Q3627">
        <f>Q3625</f>
        <v>0</v>
      </c>
      <c r="R3627">
        <f>R3616</f>
        <v>0</v>
      </c>
      <c r="S3627" s="13">
        <f>S3625</f>
        <v>11</v>
      </c>
      <c r="T3627" s="15">
        <f t="shared" si="402"/>
        <v>521.0144927536229</v>
      </c>
    </row>
    <row r="3628" spans="2:21" x14ac:dyDescent="0.35">
      <c r="D3628">
        <f t="shared" ref="D3628:D3629" si="410">D3627</f>
        <v>12</v>
      </c>
      <c r="E3628">
        <f>E3627</f>
        <v>0</v>
      </c>
      <c r="F3628">
        <f>F3617</f>
        <v>6</v>
      </c>
      <c r="G3628" s="12">
        <f>G3627</f>
        <v>3</v>
      </c>
      <c r="H3628" s="13">
        <f t="shared" si="400"/>
        <v>18</v>
      </c>
      <c r="J3628" s="335">
        <f t="shared" si="408"/>
        <v>18</v>
      </c>
      <c r="K3628" s="13">
        <f>K3627</f>
        <v>38.81987577639751</v>
      </c>
      <c r="L3628">
        <f>L3617</f>
        <v>2</v>
      </c>
      <c r="M3628" s="12">
        <f>M3627</f>
        <v>-3.0303030303030303</v>
      </c>
      <c r="N3628" s="15">
        <f t="shared" si="401"/>
        <v>109.9710144927536</v>
      </c>
      <c r="P3628" s="335">
        <f t="shared" si="409"/>
        <v>109.9710144927536</v>
      </c>
      <c r="Q3628">
        <f>Q3627</f>
        <v>0</v>
      </c>
      <c r="R3628">
        <f>R3617</f>
        <v>10</v>
      </c>
      <c r="S3628" s="13">
        <f>S3627</f>
        <v>11</v>
      </c>
      <c r="T3628" s="15">
        <f t="shared" si="402"/>
        <v>1099.6811594202895</v>
      </c>
    </row>
    <row r="3629" spans="2:21" x14ac:dyDescent="0.35">
      <c r="D3629">
        <f t="shared" si="410"/>
        <v>12</v>
      </c>
      <c r="E3629">
        <f>E3628</f>
        <v>0</v>
      </c>
      <c r="F3629">
        <f>F3618</f>
        <v>-6</v>
      </c>
      <c r="G3629" s="12">
        <f>G3628</f>
        <v>3</v>
      </c>
      <c r="H3629" s="13">
        <f t="shared" si="400"/>
        <v>54</v>
      </c>
      <c r="J3629" s="335">
        <f t="shared" si="408"/>
        <v>54</v>
      </c>
      <c r="K3629" s="13">
        <f>K3628</f>
        <v>38.81987577639751</v>
      </c>
      <c r="L3629">
        <f>L3618</f>
        <v>-2</v>
      </c>
      <c r="M3629" s="12">
        <f>M3628</f>
        <v>-3.0303030303030303</v>
      </c>
      <c r="N3629" s="15">
        <f t="shared" si="401"/>
        <v>-15.241106719367615</v>
      </c>
      <c r="P3629" s="335">
        <f t="shared" si="409"/>
        <v>-15.241106719367615</v>
      </c>
      <c r="Q3629">
        <f>Q3628</f>
        <v>0</v>
      </c>
      <c r="R3629">
        <v>-10</v>
      </c>
      <c r="S3629" s="13">
        <f>S3628</f>
        <v>11</v>
      </c>
      <c r="T3629" s="15">
        <f t="shared" si="402"/>
        <v>-57.652173913043761</v>
      </c>
      <c r="U3629" s="170"/>
    </row>
    <row r="3630" spans="2:21" x14ac:dyDescent="0.35">
      <c r="G3630" s="12"/>
      <c r="H3630" s="13"/>
      <c r="J3630" s="335"/>
      <c r="K3630" s="13"/>
      <c r="M3630" s="12"/>
      <c r="N3630" s="15"/>
      <c r="P3630" s="335"/>
      <c r="S3630" s="12"/>
      <c r="T3630" s="15"/>
      <c r="U3630" s="170"/>
    </row>
    <row r="3631" spans="2:21" x14ac:dyDescent="0.35">
      <c r="B3631" s="83" t="s">
        <v>4477</v>
      </c>
      <c r="D3631" s="335"/>
      <c r="E3631" s="335"/>
      <c r="F3631" s="335"/>
      <c r="K3631" s="295" t="s">
        <v>4161</v>
      </c>
      <c r="L3631" s="295" t="s">
        <v>4478</v>
      </c>
      <c r="N3631" s="403"/>
      <c r="O3631" s="404"/>
      <c r="Q3631" s="8"/>
    </row>
    <row r="3632" spans="2:21" x14ac:dyDescent="0.35">
      <c r="D3632" s="335"/>
      <c r="E3632" s="335"/>
      <c r="F3632" s="335"/>
      <c r="K3632" s="295" t="s">
        <v>4163</v>
      </c>
      <c r="N3632" s="403"/>
      <c r="O3632" s="404"/>
      <c r="Q3632" s="8"/>
    </row>
    <row r="3633" spans="4:27" x14ac:dyDescent="0.35">
      <c r="D3633" s="335"/>
      <c r="E3633" s="335"/>
      <c r="F3633" s="335"/>
      <c r="K3633" s="295" t="s">
        <v>4162</v>
      </c>
      <c r="N3633" s="403"/>
      <c r="O3633" s="404"/>
      <c r="Q3633" s="8"/>
    </row>
    <row r="3634" spans="4:27" x14ac:dyDescent="0.35">
      <c r="D3634" s="335"/>
      <c r="E3634" s="335"/>
      <c r="F3634" s="335"/>
      <c r="J3634" s="295"/>
      <c r="N3634" s="403"/>
      <c r="O3634" s="404"/>
      <c r="Q3634" s="8"/>
    </row>
    <row r="3635" spans="4:27" x14ac:dyDescent="0.35">
      <c r="D3635" s="10" t="s">
        <v>4167</v>
      </c>
      <c r="E3635" s="162">
        <v>10500</v>
      </c>
      <c r="H3635" s="13"/>
      <c r="I3635" s="13" t="s">
        <v>4167</v>
      </c>
      <c r="J3635" s="162">
        <f>9100</f>
        <v>9100</v>
      </c>
      <c r="K3635" s="162">
        <v>13000</v>
      </c>
      <c r="N3635" s="403"/>
      <c r="O3635" s="404"/>
      <c r="Q3635" s="8"/>
    </row>
    <row r="3636" spans="4:27" x14ac:dyDescent="0.35">
      <c r="D3636" s="15" t="s">
        <v>4170</v>
      </c>
      <c r="E3636">
        <v>1000</v>
      </c>
      <c r="H3636" s="13"/>
      <c r="I3636" s="13" t="s">
        <v>4171</v>
      </c>
      <c r="J3636">
        <v>100</v>
      </c>
      <c r="K3636">
        <v>100</v>
      </c>
      <c r="N3636" s="403"/>
      <c r="O3636" s="404"/>
      <c r="Q3636" s="8"/>
      <c r="U3636" s="15"/>
      <c r="V3636" s="10"/>
      <c r="Y3636" s="13"/>
      <c r="Z3636" s="13"/>
      <c r="AA3636" s="10"/>
    </row>
    <row r="3637" spans="4:27" x14ac:dyDescent="0.35">
      <c r="D3637" s="15" t="s">
        <v>4169</v>
      </c>
      <c r="E3637" s="10">
        <f>E3635*E3636/1000000</f>
        <v>10.5</v>
      </c>
      <c r="H3637" s="13"/>
      <c r="I3637" s="13" t="s">
        <v>4172</v>
      </c>
      <c r="J3637" s="11">
        <f>2.5*J3636/(J3635+J3636)</f>
        <v>2.717391304347826E-2</v>
      </c>
      <c r="K3637" s="11">
        <f>2.5*K3636/(K3635+K3636)</f>
        <v>1.9083969465648856E-2</v>
      </c>
      <c r="N3637" s="403"/>
      <c r="O3637" s="404"/>
      <c r="Q3637" s="8"/>
      <c r="U3637" s="15"/>
      <c r="V3637" s="10"/>
      <c r="Y3637" s="13"/>
      <c r="Z3637" s="13"/>
      <c r="AA3637" s="10"/>
    </row>
    <row r="3638" spans="4:27" x14ac:dyDescent="0.35">
      <c r="D3638" s="15" t="s">
        <v>4168</v>
      </c>
      <c r="E3638" s="10">
        <f>1/(6.28*E3637)</f>
        <v>1.5165301789505611E-2</v>
      </c>
      <c r="G3638" s="13"/>
      <c r="H3638" s="13"/>
      <c r="I3638" s="13" t="s">
        <v>4173</v>
      </c>
      <c r="J3638">
        <v>10</v>
      </c>
      <c r="K3638">
        <v>10</v>
      </c>
      <c r="N3638" s="403"/>
      <c r="O3638" s="404"/>
      <c r="Q3638" s="8"/>
      <c r="U3638" s="15"/>
      <c r="V3638" s="10"/>
      <c r="Y3638" s="13"/>
      <c r="Z3638" s="13"/>
      <c r="AA3638" s="10"/>
    </row>
    <row r="3639" spans="4:27" x14ac:dyDescent="0.35">
      <c r="E3639" s="15"/>
      <c r="G3639" s="13"/>
      <c r="H3639" s="13"/>
      <c r="I3639" s="13" t="s">
        <v>4174</v>
      </c>
      <c r="J3639" s="424">
        <f>1000000/(6.28*J3635*J3638)</f>
        <v>1.7498425141737244</v>
      </c>
      <c r="K3639" s="424">
        <f>1000000/(6.28*K3635*K3638)</f>
        <v>1.2248897599216071</v>
      </c>
      <c r="N3639" s="403"/>
      <c r="O3639" s="404"/>
      <c r="Q3639" s="8"/>
      <c r="U3639" s="15"/>
      <c r="V3639" s="10"/>
      <c r="Y3639" s="13"/>
      <c r="Z3639" s="13"/>
      <c r="AA3639" s="10"/>
    </row>
    <row r="3640" spans="4:27" x14ac:dyDescent="0.35">
      <c r="D3640" s="335"/>
      <c r="E3640" s="335"/>
      <c r="F3640" s="335"/>
      <c r="J3640" s="295"/>
      <c r="N3640" s="403"/>
      <c r="O3640" s="404"/>
      <c r="Q3640" s="8"/>
    </row>
    <row r="3641" spans="4:27" x14ac:dyDescent="0.35">
      <c r="D3641" s="335"/>
      <c r="E3641" s="335"/>
      <c r="F3641" s="420"/>
      <c r="G3641" s="12">
        <v>1</v>
      </c>
      <c r="I3641" s="12"/>
      <c r="J3641" s="420"/>
      <c r="K3641" s="12">
        <v>1</v>
      </c>
      <c r="L3641" s="12"/>
      <c r="M3641" s="12">
        <v>1</v>
      </c>
      <c r="N3641" s="12"/>
      <c r="O3641" s="12"/>
      <c r="P3641" s="12"/>
      <c r="Q3641" s="421"/>
      <c r="R3641" s="12"/>
      <c r="S3641" s="12">
        <v>1</v>
      </c>
    </row>
    <row r="3642" spans="4:27" x14ac:dyDescent="0.35">
      <c r="D3642" s="333" t="s">
        <v>3814</v>
      </c>
      <c r="E3642" s="333" t="s">
        <v>3816</v>
      </c>
      <c r="F3642" s="333" t="s">
        <v>3811</v>
      </c>
      <c r="G3642" s="333" t="s">
        <v>3813</v>
      </c>
      <c r="H3642" s="333" t="s">
        <v>3812</v>
      </c>
      <c r="I3642" s="393"/>
      <c r="J3642" s="333" t="s">
        <v>3815</v>
      </c>
      <c r="K3642" s="333" t="s">
        <v>3817</v>
      </c>
      <c r="L3642" s="333" t="s">
        <v>3818</v>
      </c>
      <c r="M3642" s="333" t="s">
        <v>3819</v>
      </c>
      <c r="N3642" s="333" t="s">
        <v>3812</v>
      </c>
      <c r="P3642" s="333" t="s">
        <v>3828</v>
      </c>
      <c r="Q3642" s="333" t="s">
        <v>3829</v>
      </c>
      <c r="R3642" s="333" t="s">
        <v>3830</v>
      </c>
      <c r="S3642" s="333" t="s">
        <v>3831</v>
      </c>
      <c r="T3642" s="333" t="s">
        <v>3832</v>
      </c>
    </row>
    <row r="3643" spans="4:27" x14ac:dyDescent="0.35">
      <c r="D3643" s="406">
        <v>-20</v>
      </c>
      <c r="E3643" s="299">
        <v>0</v>
      </c>
      <c r="F3643" s="398">
        <v>-2</v>
      </c>
      <c r="G3643" s="418">
        <f>(1+62/100)*G$3641</f>
        <v>1.62</v>
      </c>
      <c r="H3643" s="13">
        <f>(D3643-(E3643+F3643))+((D3643-(E3643+F3643))*(G3643-1))</f>
        <v>-29.160000000000004</v>
      </c>
      <c r="J3643" s="335">
        <f>H3643</f>
        <v>-29.160000000000004</v>
      </c>
      <c r="K3643" s="422">
        <f>J3637*1000</f>
        <v>27.173913043478262</v>
      </c>
      <c r="L3643" s="398">
        <v>2</v>
      </c>
      <c r="M3643" s="418">
        <f>(-1000/620)*M3641</f>
        <v>-1.6129032258064515</v>
      </c>
      <c r="N3643" s="15">
        <f>(K3643+L3643)+((J3643-(K3643+L3643))*M3643)</f>
        <v>123.26086956521739</v>
      </c>
      <c r="P3643" s="335">
        <f>N3643</f>
        <v>123.26086956521739</v>
      </c>
      <c r="Q3643" s="299">
        <v>0</v>
      </c>
      <c r="R3643" s="398">
        <v>-10</v>
      </c>
      <c r="S3643" s="418">
        <f>(1+10500/620)*S$3641</f>
        <v>17.93548387096774</v>
      </c>
      <c r="T3643" s="15">
        <f>(P3643-(Q3643+R3643))+((P3643-(Q3643+R3643))*(S3643-1))</f>
        <v>2390.098176718092</v>
      </c>
    </row>
    <row r="3644" spans="4:27" x14ac:dyDescent="0.35">
      <c r="D3644">
        <f t="shared" ref="D3644:D3646" si="411">D3643</f>
        <v>-20</v>
      </c>
      <c r="E3644">
        <f>E3643</f>
        <v>0</v>
      </c>
      <c r="F3644" s="398">
        <v>0</v>
      </c>
      <c r="G3644" s="12">
        <f>G3643</f>
        <v>1.62</v>
      </c>
      <c r="H3644" s="13">
        <f t="shared" ref="H3644:H3646" si="412">(D3644-(E3644+F3644))+((D3644-(E3644+F3644))*(G3644-1))</f>
        <v>-32.400000000000006</v>
      </c>
      <c r="J3644" s="335">
        <f t="shared" ref="J3644:J3646" si="413">H3644</f>
        <v>-32.400000000000006</v>
      </c>
      <c r="K3644" s="13">
        <f>K3643</f>
        <v>27.173913043478262</v>
      </c>
      <c r="L3644" s="398">
        <v>0</v>
      </c>
      <c r="M3644" s="12">
        <f>M3643</f>
        <v>-1.6129032258064515</v>
      </c>
      <c r="N3644" s="15">
        <f t="shared" ref="N3644:N3646" si="414">(K3644+L3644)+((J3644-(K3644+L3644))*M3644)</f>
        <v>123.2608695652174</v>
      </c>
      <c r="P3644" s="335">
        <f t="shared" ref="P3644:P3646" si="415">N3644</f>
        <v>123.2608695652174</v>
      </c>
      <c r="Q3644">
        <f>Q3643</f>
        <v>0</v>
      </c>
      <c r="R3644" s="398">
        <v>0</v>
      </c>
      <c r="S3644" s="12">
        <f>S3643</f>
        <v>17.93548387096774</v>
      </c>
      <c r="T3644" s="15">
        <f t="shared" ref="T3644:T3646" si="416">(P3644-(Q3644+R3644))+((P3644-(Q3644+R3644))*(S3644-1))</f>
        <v>2210.7433380084153</v>
      </c>
    </row>
    <row r="3645" spans="4:27" x14ac:dyDescent="0.35">
      <c r="D3645">
        <f t="shared" si="411"/>
        <v>-20</v>
      </c>
      <c r="E3645">
        <f>E3644</f>
        <v>0</v>
      </c>
      <c r="F3645" s="398">
        <v>2</v>
      </c>
      <c r="G3645" s="12">
        <f>G3644</f>
        <v>1.62</v>
      </c>
      <c r="H3645" s="13">
        <f t="shared" si="412"/>
        <v>-35.64</v>
      </c>
      <c r="J3645" s="335">
        <f t="shared" si="413"/>
        <v>-35.64</v>
      </c>
      <c r="K3645" s="13">
        <f>K3644</f>
        <v>27.173913043478262</v>
      </c>
      <c r="L3645" s="398">
        <v>2</v>
      </c>
      <c r="M3645" s="12">
        <f>M3644</f>
        <v>-1.6129032258064515</v>
      </c>
      <c r="N3645" s="15">
        <f t="shared" si="414"/>
        <v>133.7124824684432</v>
      </c>
      <c r="P3645" s="335">
        <f t="shared" si="415"/>
        <v>133.7124824684432</v>
      </c>
      <c r="Q3645">
        <f>Q3644</f>
        <v>0</v>
      </c>
      <c r="R3645" s="398">
        <v>10</v>
      </c>
      <c r="S3645" s="12">
        <f>S3644</f>
        <v>17.93548387096774</v>
      </c>
      <c r="T3645" s="15">
        <f t="shared" si="416"/>
        <v>2218.8432339501423</v>
      </c>
    </row>
    <row r="3646" spans="4:27" x14ac:dyDescent="0.35">
      <c r="D3646">
        <f t="shared" si="411"/>
        <v>-20</v>
      </c>
      <c r="E3646">
        <f>E3645</f>
        <v>0</v>
      </c>
      <c r="F3646" s="398">
        <v>-2</v>
      </c>
      <c r="G3646" s="12">
        <f>G3645</f>
        <v>1.62</v>
      </c>
      <c r="H3646" s="13">
        <f t="shared" si="412"/>
        <v>-29.160000000000004</v>
      </c>
      <c r="J3646" s="335">
        <f t="shared" si="413"/>
        <v>-29.160000000000004</v>
      </c>
      <c r="K3646" s="13">
        <f>K3645</f>
        <v>27.173913043478262</v>
      </c>
      <c r="L3646" s="398">
        <v>-2</v>
      </c>
      <c r="M3646" s="12">
        <f>M3645</f>
        <v>-1.6129032258064515</v>
      </c>
      <c r="N3646" s="15">
        <f t="shared" si="414"/>
        <v>112.80925666199158</v>
      </c>
      <c r="P3646" s="335">
        <f t="shared" si="415"/>
        <v>112.80925666199158</v>
      </c>
      <c r="Q3646">
        <f>Q3645</f>
        <v>0</v>
      </c>
      <c r="R3646" s="398">
        <v>-10</v>
      </c>
      <c r="S3646" s="12">
        <f>S3645</f>
        <v>17.93548387096774</v>
      </c>
      <c r="T3646" s="15">
        <f t="shared" si="416"/>
        <v>2202.6434420666874</v>
      </c>
    </row>
    <row r="3647" spans="4:27" x14ac:dyDescent="0.35">
      <c r="D3647" s="335"/>
      <c r="G3647" s="12"/>
      <c r="H3647" s="13"/>
      <c r="J3647" s="335"/>
      <c r="K3647" s="13"/>
      <c r="M3647" s="12"/>
      <c r="N3647" s="15"/>
      <c r="P3647" s="335"/>
      <c r="S3647" s="12"/>
      <c r="T3647" s="15"/>
    </row>
    <row r="3648" spans="4:27" x14ac:dyDescent="0.35">
      <c r="D3648" s="405">
        <v>0</v>
      </c>
      <c r="E3648" s="95">
        <f>E3643</f>
        <v>0</v>
      </c>
      <c r="F3648">
        <f>F3643</f>
        <v>-2</v>
      </c>
      <c r="G3648" s="419">
        <f>G3643</f>
        <v>1.62</v>
      </c>
      <c r="H3648" s="13">
        <f t="shared" ref="H3648:H3651" si="417">(D3648-(E3648+F3648))+((D3648-(E3648+F3648))*(G3648-1))</f>
        <v>3.24</v>
      </c>
      <c r="J3648" s="335">
        <f>H3648</f>
        <v>3.24</v>
      </c>
      <c r="K3648" s="423">
        <f>K3643</f>
        <v>27.173913043478262</v>
      </c>
      <c r="L3648">
        <f>L3643</f>
        <v>2</v>
      </c>
      <c r="M3648" s="419">
        <f>M3643</f>
        <v>-1.6129032258064515</v>
      </c>
      <c r="N3648" s="15">
        <f t="shared" ref="N3648:N3651" si="418">(K3648+L3648)+((J3648-(K3648+L3648))*M3648)</f>
        <v>71.002805049088366</v>
      </c>
      <c r="P3648" s="335">
        <f>N3648</f>
        <v>71.002805049088366</v>
      </c>
      <c r="Q3648" s="95">
        <f>Q3643</f>
        <v>0</v>
      </c>
      <c r="R3648">
        <f>R3643</f>
        <v>-10</v>
      </c>
      <c r="S3648" s="419">
        <f>S3643</f>
        <v>17.93548387096774</v>
      </c>
      <c r="T3648" s="15">
        <f t="shared" ref="T3648:T3651" si="419">(P3648-(Q3648+R3648))+((P3648-(Q3648+R3648))*(S3648-1))</f>
        <v>1452.8245034610686</v>
      </c>
    </row>
    <row r="3649" spans="2:26" x14ac:dyDescent="0.35">
      <c r="D3649">
        <f t="shared" ref="D3649:D3651" si="420">D3648</f>
        <v>0</v>
      </c>
      <c r="E3649">
        <f>E3648</f>
        <v>0</v>
      </c>
      <c r="F3649">
        <f t="shared" ref="F3649:F3651" si="421">F3644</f>
        <v>0</v>
      </c>
      <c r="G3649" s="12">
        <f>G3648</f>
        <v>1.62</v>
      </c>
      <c r="H3649" s="13">
        <f t="shared" si="417"/>
        <v>0</v>
      </c>
      <c r="J3649" s="335">
        <f t="shared" ref="J3649:J3651" si="422">H3649</f>
        <v>0</v>
      </c>
      <c r="K3649" s="13">
        <f>K3648</f>
        <v>27.173913043478262</v>
      </c>
      <c r="L3649">
        <f t="shared" ref="L3649:L3651" si="423">L3644</f>
        <v>0</v>
      </c>
      <c r="M3649" s="12">
        <f>M3648</f>
        <v>-1.6129032258064515</v>
      </c>
      <c r="N3649" s="15">
        <f t="shared" si="418"/>
        <v>71.002805049088352</v>
      </c>
      <c r="P3649" s="335">
        <f t="shared" ref="P3649:P3651" si="424">N3649</f>
        <v>71.002805049088352</v>
      </c>
      <c r="Q3649">
        <f>Q3648</f>
        <v>0</v>
      </c>
      <c r="R3649">
        <f t="shared" ref="R3649:R3651" si="425">R3644</f>
        <v>0</v>
      </c>
      <c r="S3649" s="12">
        <f>S3648</f>
        <v>17.93548387096774</v>
      </c>
      <c r="T3649" s="15">
        <f t="shared" si="419"/>
        <v>1273.4696647513911</v>
      </c>
    </row>
    <row r="3650" spans="2:26" x14ac:dyDescent="0.35">
      <c r="D3650">
        <f t="shared" si="420"/>
        <v>0</v>
      </c>
      <c r="E3650">
        <f>E3649</f>
        <v>0</v>
      </c>
      <c r="F3650">
        <f t="shared" si="421"/>
        <v>2</v>
      </c>
      <c r="G3650" s="12">
        <f>G3649</f>
        <v>1.62</v>
      </c>
      <c r="H3650" s="13">
        <f t="shared" si="417"/>
        <v>-3.24</v>
      </c>
      <c r="J3650" s="335">
        <f t="shared" si="422"/>
        <v>-3.24</v>
      </c>
      <c r="K3650" s="13">
        <f>K3649</f>
        <v>27.173913043478262</v>
      </c>
      <c r="L3650">
        <f t="shared" si="423"/>
        <v>2</v>
      </c>
      <c r="M3650" s="12">
        <f>M3649</f>
        <v>-1.6129032258064515</v>
      </c>
      <c r="N3650" s="15">
        <f t="shared" si="418"/>
        <v>81.454417952314159</v>
      </c>
      <c r="P3650" s="335">
        <f t="shared" si="424"/>
        <v>81.454417952314159</v>
      </c>
      <c r="Q3650">
        <f>Q3649</f>
        <v>0</v>
      </c>
      <c r="R3650">
        <f t="shared" si="425"/>
        <v>10</v>
      </c>
      <c r="S3650" s="12">
        <f>S3649</f>
        <v>17.93548387096774</v>
      </c>
      <c r="T3650" s="15">
        <f t="shared" si="419"/>
        <v>1281.5695606931183</v>
      </c>
    </row>
    <row r="3651" spans="2:26" x14ac:dyDescent="0.35">
      <c r="D3651">
        <f t="shared" si="420"/>
        <v>0</v>
      </c>
      <c r="E3651">
        <f>E3650</f>
        <v>0</v>
      </c>
      <c r="F3651">
        <f t="shared" si="421"/>
        <v>-2</v>
      </c>
      <c r="G3651" s="12">
        <f>G3650</f>
        <v>1.62</v>
      </c>
      <c r="H3651" s="13">
        <f t="shared" si="417"/>
        <v>3.24</v>
      </c>
      <c r="J3651" s="335">
        <f t="shared" si="422"/>
        <v>3.24</v>
      </c>
      <c r="K3651" s="13">
        <f>K3650</f>
        <v>27.173913043478262</v>
      </c>
      <c r="L3651">
        <f t="shared" si="423"/>
        <v>-2</v>
      </c>
      <c r="M3651" s="12">
        <f>M3650</f>
        <v>-1.6129032258064515</v>
      </c>
      <c r="N3651" s="15">
        <f t="shared" si="418"/>
        <v>60.551192145862558</v>
      </c>
      <c r="P3651" s="335">
        <f t="shared" si="424"/>
        <v>60.551192145862558</v>
      </c>
      <c r="Q3651">
        <f>Q3650</f>
        <v>0</v>
      </c>
      <c r="R3651">
        <f t="shared" si="425"/>
        <v>-10</v>
      </c>
      <c r="S3651" s="12">
        <f>S3650</f>
        <v>17.93548387096774</v>
      </c>
      <c r="T3651" s="15">
        <f t="shared" si="419"/>
        <v>1265.3697688096638</v>
      </c>
    </row>
    <row r="3652" spans="2:26" x14ac:dyDescent="0.35">
      <c r="G3652" s="12"/>
      <c r="H3652" s="13"/>
      <c r="J3652" s="335"/>
      <c r="K3652" s="13"/>
      <c r="M3652" s="12"/>
      <c r="N3652" s="15"/>
      <c r="P3652" s="335"/>
      <c r="S3652" s="12"/>
      <c r="T3652" s="15"/>
    </row>
    <row r="3653" spans="2:26" x14ac:dyDescent="0.35">
      <c r="D3653" s="406">
        <v>20</v>
      </c>
      <c r="E3653" s="95">
        <f>E3643</f>
        <v>0</v>
      </c>
      <c r="F3653">
        <f>F3643</f>
        <v>-2</v>
      </c>
      <c r="G3653" s="419">
        <f>G3643</f>
        <v>1.62</v>
      </c>
      <c r="H3653" s="13">
        <f t="shared" ref="H3653:H3656" si="426">(D3653-(E3653+F3653))+((D3653-(E3653+F3653))*(G3653-1))</f>
        <v>35.64</v>
      </c>
      <c r="J3653" s="335">
        <f>H3653</f>
        <v>35.64</v>
      </c>
      <c r="K3653" s="423">
        <f>K3643</f>
        <v>27.173913043478262</v>
      </c>
      <c r="L3653">
        <f>L3643</f>
        <v>2</v>
      </c>
      <c r="M3653" s="419">
        <f>M3643</f>
        <v>-1.6129032258064515</v>
      </c>
      <c r="N3653" s="15">
        <f t="shared" ref="N3653:N3656" si="427">(K3653+L3653)+((J3653-(K3653+L3653))*M3653)</f>
        <v>18.744740532959327</v>
      </c>
      <c r="P3653" s="335">
        <f>N3653</f>
        <v>18.744740532959327</v>
      </c>
      <c r="Q3653" s="95">
        <f>Q3643</f>
        <v>0</v>
      </c>
      <c r="R3653">
        <f>R3643</f>
        <v>-10</v>
      </c>
      <c r="S3653" s="419">
        <f>S3643</f>
        <v>17.93548387096774</v>
      </c>
      <c r="T3653" s="15">
        <f t="shared" ref="T3653:T3656" si="428">(P3653-(Q3653+R3653))+((P3653-(Q3653+R3653))*(S3653-1))</f>
        <v>515.55083020404459</v>
      </c>
    </row>
    <row r="3654" spans="2:26" x14ac:dyDescent="0.35">
      <c r="D3654">
        <f t="shared" ref="D3654:D3656" si="429">D3653</f>
        <v>20</v>
      </c>
      <c r="E3654">
        <f>E3653</f>
        <v>0</v>
      </c>
      <c r="F3654">
        <f t="shared" ref="F3654:F3655" si="430">F3644</f>
        <v>0</v>
      </c>
      <c r="G3654" s="12">
        <f>G3653</f>
        <v>1.62</v>
      </c>
      <c r="H3654" s="13">
        <f t="shared" si="426"/>
        <v>32.400000000000006</v>
      </c>
      <c r="J3654" s="335">
        <f t="shared" ref="J3654:J3656" si="431">H3654</f>
        <v>32.400000000000006</v>
      </c>
      <c r="K3654" s="13">
        <f>K3653</f>
        <v>27.173913043478262</v>
      </c>
      <c r="L3654">
        <f t="shared" ref="L3654:L3656" si="432">L3644</f>
        <v>0</v>
      </c>
      <c r="M3654" s="12">
        <f>M3653</f>
        <v>-1.6129032258064515</v>
      </c>
      <c r="N3654" s="15">
        <f t="shared" si="427"/>
        <v>18.74474053295932</v>
      </c>
      <c r="P3654" s="335">
        <f t="shared" ref="P3654:P3656" si="433">N3654</f>
        <v>18.74474053295932</v>
      </c>
      <c r="Q3654">
        <f>Q3653</f>
        <v>0</v>
      </c>
      <c r="R3654">
        <f t="shared" ref="R3654:R3655" si="434">R3644</f>
        <v>0</v>
      </c>
      <c r="S3654" s="12">
        <f>S3653</f>
        <v>17.93548387096774</v>
      </c>
      <c r="T3654" s="15">
        <f t="shared" si="428"/>
        <v>336.19599149436715</v>
      </c>
    </row>
    <row r="3655" spans="2:26" x14ac:dyDescent="0.35">
      <c r="D3655">
        <f t="shared" si="429"/>
        <v>20</v>
      </c>
      <c r="E3655">
        <f>E3654</f>
        <v>0</v>
      </c>
      <c r="F3655">
        <f t="shared" si="430"/>
        <v>2</v>
      </c>
      <c r="G3655" s="12">
        <f>G3654</f>
        <v>1.62</v>
      </c>
      <c r="H3655" s="13">
        <f t="shared" si="426"/>
        <v>29.160000000000004</v>
      </c>
      <c r="J3655" s="335">
        <f t="shared" si="431"/>
        <v>29.160000000000004</v>
      </c>
      <c r="K3655" s="13">
        <f>K3654</f>
        <v>27.173913043478262</v>
      </c>
      <c r="L3655">
        <f t="shared" si="432"/>
        <v>2</v>
      </c>
      <c r="M3655" s="12">
        <f>M3654</f>
        <v>-1.6129032258064515</v>
      </c>
      <c r="N3655" s="15">
        <f t="shared" si="427"/>
        <v>29.196353436185131</v>
      </c>
      <c r="P3655" s="335">
        <f t="shared" si="433"/>
        <v>29.196353436185131</v>
      </c>
      <c r="Q3655">
        <f>Q3654</f>
        <v>0</v>
      </c>
      <c r="R3655">
        <f t="shared" si="434"/>
        <v>10</v>
      </c>
      <c r="S3655" s="12">
        <f>S3654</f>
        <v>17.93548387096774</v>
      </c>
      <c r="T3655" s="15">
        <f t="shared" si="428"/>
        <v>344.29588743609457</v>
      </c>
    </row>
    <row r="3656" spans="2:26" x14ac:dyDescent="0.35">
      <c r="D3656">
        <f t="shared" si="429"/>
        <v>20</v>
      </c>
      <c r="E3656">
        <f>E3655</f>
        <v>0</v>
      </c>
      <c r="F3656">
        <v>-2</v>
      </c>
      <c r="G3656" s="12">
        <f>G3655</f>
        <v>1.62</v>
      </c>
      <c r="H3656" s="13">
        <f t="shared" si="426"/>
        <v>35.64</v>
      </c>
      <c r="J3656" s="335">
        <f t="shared" si="431"/>
        <v>35.64</v>
      </c>
      <c r="K3656" s="13">
        <f>K3655</f>
        <v>27.173913043478262</v>
      </c>
      <c r="L3656">
        <f t="shared" si="432"/>
        <v>-2</v>
      </c>
      <c r="M3656" s="12">
        <f>M3655</f>
        <v>-1.6129032258064515</v>
      </c>
      <c r="N3656" s="15">
        <f t="shared" si="427"/>
        <v>8.2931276297335224</v>
      </c>
      <c r="P3656" s="335">
        <f t="shared" si="433"/>
        <v>8.2931276297335224</v>
      </c>
      <c r="Q3656">
        <f>Q3655</f>
        <v>0</v>
      </c>
      <c r="R3656">
        <v>-10</v>
      </c>
      <c r="S3656" s="12">
        <f>S3655</f>
        <v>17.93548387096774</v>
      </c>
      <c r="T3656" s="15">
        <f t="shared" si="428"/>
        <v>328.09609555263995</v>
      </c>
      <c r="U3656" s="170"/>
    </row>
    <row r="3657" spans="2:26" x14ac:dyDescent="0.35">
      <c r="D3657" s="335"/>
      <c r="E3657" s="335"/>
      <c r="F3657" s="335"/>
      <c r="N3657" s="403"/>
      <c r="O3657" s="404"/>
      <c r="Q3657" s="8"/>
      <c r="V3657" s="15"/>
      <c r="X3657" s="13"/>
      <c r="Y3657" s="13"/>
      <c r="Z3657" s="13"/>
    </row>
    <row r="3658" spans="2:26" x14ac:dyDescent="0.35">
      <c r="B3658" s="83" t="s">
        <v>4164</v>
      </c>
      <c r="D3658" s="335"/>
      <c r="J3658" s="295" t="s">
        <v>4161</v>
      </c>
      <c r="K3658" s="295" t="s">
        <v>4160</v>
      </c>
      <c r="R3658" s="162"/>
    </row>
    <row r="3659" spans="2:26" x14ac:dyDescent="0.35">
      <c r="D3659" s="335"/>
      <c r="R3659" s="162"/>
    </row>
    <row r="3660" spans="2:26" x14ac:dyDescent="0.35">
      <c r="D3660" s="333" t="s">
        <v>3814</v>
      </c>
      <c r="E3660" s="333" t="s">
        <v>3816</v>
      </c>
      <c r="F3660" s="333" t="s">
        <v>3811</v>
      </c>
      <c r="G3660" s="333" t="s">
        <v>3813</v>
      </c>
      <c r="H3660" s="333" t="s">
        <v>3812</v>
      </c>
      <c r="I3660" s="393"/>
      <c r="J3660" s="333" t="s">
        <v>3815</v>
      </c>
      <c r="K3660" s="333" t="s">
        <v>3817</v>
      </c>
      <c r="L3660" s="333" t="s">
        <v>3818</v>
      </c>
      <c r="M3660" s="333" t="s">
        <v>3819</v>
      </c>
      <c r="N3660" s="333" t="s">
        <v>3812</v>
      </c>
      <c r="P3660" s="333" t="s">
        <v>3828</v>
      </c>
      <c r="Q3660" s="333" t="s">
        <v>3829</v>
      </c>
      <c r="R3660" s="333" t="s">
        <v>3830</v>
      </c>
      <c r="S3660" s="333" t="s">
        <v>3831</v>
      </c>
      <c r="T3660" s="333" t="s">
        <v>3832</v>
      </c>
    </row>
    <row r="3661" spans="2:26" x14ac:dyDescent="0.35">
      <c r="D3661" s="406">
        <v>-10</v>
      </c>
      <c r="E3661" s="299">
        <v>-10</v>
      </c>
      <c r="F3661" s="398">
        <v>-2</v>
      </c>
      <c r="G3661" s="299">
        <v>-2.2000000000000002</v>
      </c>
      <c r="H3661" s="15">
        <f>(E3661+F3661)+((D3661-(E3661+F3661))*G3661)</f>
        <v>-16.399999999999999</v>
      </c>
      <c r="J3661" s="335">
        <f>H3661</f>
        <v>-16.399999999999999</v>
      </c>
      <c r="K3661" s="299">
        <v>0</v>
      </c>
      <c r="L3661" s="398">
        <v>-2</v>
      </c>
      <c r="M3661" s="299">
        <v>-2.2000000000000002</v>
      </c>
      <c r="N3661" s="15">
        <f>(K3661+L3661)+((J3661-(K3661+L3661))*M3661)</f>
        <v>29.68</v>
      </c>
      <c r="P3661" s="335">
        <f>N3661</f>
        <v>29.68</v>
      </c>
      <c r="Q3661" s="299">
        <v>0</v>
      </c>
      <c r="R3661" s="398">
        <v>-10</v>
      </c>
      <c r="S3661" s="299">
        <v>20</v>
      </c>
      <c r="T3661" s="162">
        <f>(Q3661+R3661)+((P3661-(Q3661+R3661))*S3661)</f>
        <v>783.6</v>
      </c>
    </row>
    <row r="3662" spans="2:26" x14ac:dyDescent="0.35">
      <c r="D3662">
        <f t="shared" ref="D3662:D3664" si="435">D3661</f>
        <v>-10</v>
      </c>
      <c r="E3662">
        <f>E3661</f>
        <v>-10</v>
      </c>
      <c r="F3662" s="398">
        <v>0</v>
      </c>
      <c r="G3662">
        <f>G3661</f>
        <v>-2.2000000000000002</v>
      </c>
      <c r="H3662" s="15">
        <f t="shared" ref="H3662:H3664" si="436">(E3662+F3662)+((D3662-(E3662+F3662))*G3662)</f>
        <v>-10</v>
      </c>
      <c r="J3662" s="335">
        <f t="shared" ref="J3662:J3663" si="437">H3662</f>
        <v>-10</v>
      </c>
      <c r="K3662">
        <f>K3661</f>
        <v>0</v>
      </c>
      <c r="L3662" s="398">
        <v>0</v>
      </c>
      <c r="M3662">
        <f>M3661</f>
        <v>-2.2000000000000002</v>
      </c>
      <c r="N3662" s="15">
        <f t="shared" ref="N3662:N3664" si="438">(K3662+L3662)+((J3662-(K3662+L3662))*M3662)</f>
        <v>22</v>
      </c>
      <c r="P3662" s="335">
        <f t="shared" ref="P3662:P3664" si="439">N3662</f>
        <v>22</v>
      </c>
      <c r="Q3662">
        <f>Q3661</f>
        <v>0</v>
      </c>
      <c r="R3662" s="398">
        <v>0</v>
      </c>
      <c r="S3662">
        <f>S3661</f>
        <v>20</v>
      </c>
      <c r="T3662" s="162">
        <f t="shared" ref="T3662:T3664" si="440">(Q3662+R3662)+((P3662-(Q3662+R3662))*S3662)</f>
        <v>440</v>
      </c>
    </row>
    <row r="3663" spans="2:26" x14ac:dyDescent="0.35">
      <c r="D3663">
        <f t="shared" si="435"/>
        <v>-10</v>
      </c>
      <c r="E3663">
        <f>E3662</f>
        <v>-10</v>
      </c>
      <c r="F3663" s="398">
        <v>2</v>
      </c>
      <c r="G3663">
        <f>G3662</f>
        <v>-2.2000000000000002</v>
      </c>
      <c r="H3663" s="15">
        <f t="shared" si="436"/>
        <v>-3.5999999999999996</v>
      </c>
      <c r="J3663" s="335">
        <f t="shared" si="437"/>
        <v>-3.5999999999999996</v>
      </c>
      <c r="K3663">
        <f>K3662</f>
        <v>0</v>
      </c>
      <c r="L3663" s="398">
        <v>2</v>
      </c>
      <c r="M3663">
        <f>M3662</f>
        <v>-2.2000000000000002</v>
      </c>
      <c r="N3663" s="15">
        <f t="shared" si="438"/>
        <v>14.32</v>
      </c>
      <c r="P3663" s="335">
        <f t="shared" si="439"/>
        <v>14.32</v>
      </c>
      <c r="Q3663">
        <f>Q3662</f>
        <v>0</v>
      </c>
      <c r="R3663" s="398">
        <v>10</v>
      </c>
      <c r="S3663">
        <f>S3662</f>
        <v>20</v>
      </c>
      <c r="T3663" s="162">
        <f t="shared" si="440"/>
        <v>96.4</v>
      </c>
    </row>
    <row r="3664" spans="2:26" x14ac:dyDescent="0.35">
      <c r="D3664">
        <f t="shared" si="435"/>
        <v>-10</v>
      </c>
      <c r="E3664">
        <f>E3663</f>
        <v>-10</v>
      </c>
      <c r="F3664" s="398">
        <v>-2</v>
      </c>
      <c r="G3664">
        <f>G3663</f>
        <v>-2.2000000000000002</v>
      </c>
      <c r="H3664" s="15">
        <f t="shared" si="436"/>
        <v>-16.399999999999999</v>
      </c>
      <c r="J3664" s="335">
        <f t="shared" ref="J3664" si="441">H3664</f>
        <v>-16.399999999999999</v>
      </c>
      <c r="K3664">
        <f>K3663</f>
        <v>0</v>
      </c>
      <c r="L3664" s="398">
        <v>-2</v>
      </c>
      <c r="M3664">
        <f>M3663</f>
        <v>-2.2000000000000002</v>
      </c>
      <c r="N3664" s="15">
        <f t="shared" si="438"/>
        <v>29.68</v>
      </c>
      <c r="P3664" s="335">
        <f t="shared" si="439"/>
        <v>29.68</v>
      </c>
      <c r="Q3664">
        <f>Q3663</f>
        <v>0</v>
      </c>
      <c r="R3664" s="398">
        <v>-10</v>
      </c>
      <c r="S3664">
        <f>S3663</f>
        <v>20</v>
      </c>
      <c r="T3664" s="162">
        <f t="shared" si="440"/>
        <v>783.6</v>
      </c>
    </row>
    <row r="3665" spans="2:26" x14ac:dyDescent="0.35">
      <c r="D3665" s="335"/>
      <c r="H3665" s="15"/>
      <c r="J3665" s="335"/>
      <c r="N3665" s="15"/>
      <c r="P3665" s="335"/>
      <c r="T3665" s="162"/>
    </row>
    <row r="3666" spans="2:26" x14ac:dyDescent="0.35">
      <c r="D3666" s="405">
        <v>0</v>
      </c>
      <c r="E3666" s="95">
        <f>E3661</f>
        <v>-10</v>
      </c>
      <c r="F3666">
        <f>F3661</f>
        <v>-2</v>
      </c>
      <c r="G3666" s="95">
        <f>G3661</f>
        <v>-2.2000000000000002</v>
      </c>
      <c r="H3666" s="15">
        <f t="shared" ref="H3666:H3669" si="442">(E3666+F3666)+((D3666-(E3666+F3666))*G3666)</f>
        <v>-38.400000000000006</v>
      </c>
      <c r="J3666" s="335">
        <f>H3666</f>
        <v>-38.400000000000006</v>
      </c>
      <c r="K3666" s="95">
        <f>K3661</f>
        <v>0</v>
      </c>
      <c r="L3666">
        <f>L3661</f>
        <v>-2</v>
      </c>
      <c r="M3666" s="95">
        <f>M3661</f>
        <v>-2.2000000000000002</v>
      </c>
      <c r="N3666" s="15">
        <f t="shared" ref="N3666:N3669" si="443">(K3666+L3666)+((J3666-(K3666+L3666))*M3666)</f>
        <v>78.080000000000013</v>
      </c>
      <c r="P3666" s="335">
        <f>N3666</f>
        <v>78.080000000000013</v>
      </c>
      <c r="Q3666" s="95">
        <f>Q3661</f>
        <v>0</v>
      </c>
      <c r="R3666">
        <f>R3661</f>
        <v>-10</v>
      </c>
      <c r="S3666" s="95">
        <f>S3661</f>
        <v>20</v>
      </c>
      <c r="T3666" s="162">
        <f t="shared" ref="T3666:T3669" si="444">(Q3666+R3666)+((P3666-(Q3666+R3666))*S3666)</f>
        <v>1751.6000000000004</v>
      </c>
    </row>
    <row r="3667" spans="2:26" x14ac:dyDescent="0.35">
      <c r="D3667">
        <f t="shared" ref="D3667:D3669" si="445">D3666</f>
        <v>0</v>
      </c>
      <c r="E3667">
        <f>E3666</f>
        <v>-10</v>
      </c>
      <c r="F3667">
        <f t="shared" ref="F3667:F3669" si="446">F3662</f>
        <v>0</v>
      </c>
      <c r="G3667">
        <f>G3666</f>
        <v>-2.2000000000000002</v>
      </c>
      <c r="H3667" s="15">
        <f t="shared" si="442"/>
        <v>-32</v>
      </c>
      <c r="J3667" s="335">
        <f t="shared" ref="J3667:J3669" si="447">H3667</f>
        <v>-32</v>
      </c>
      <c r="K3667">
        <f>K3666</f>
        <v>0</v>
      </c>
      <c r="L3667">
        <f t="shared" ref="L3667:L3669" si="448">L3662</f>
        <v>0</v>
      </c>
      <c r="M3667">
        <f>M3666</f>
        <v>-2.2000000000000002</v>
      </c>
      <c r="N3667" s="15">
        <f t="shared" si="443"/>
        <v>70.400000000000006</v>
      </c>
      <c r="P3667" s="335">
        <f t="shared" ref="P3667:P3669" si="449">N3667</f>
        <v>70.400000000000006</v>
      </c>
      <c r="Q3667">
        <f>Q3666</f>
        <v>0</v>
      </c>
      <c r="R3667">
        <f t="shared" ref="R3667:R3669" si="450">R3662</f>
        <v>0</v>
      </c>
      <c r="S3667">
        <f>S3666</f>
        <v>20</v>
      </c>
      <c r="T3667" s="162">
        <f t="shared" si="444"/>
        <v>1408</v>
      </c>
    </row>
    <row r="3668" spans="2:26" x14ac:dyDescent="0.35">
      <c r="D3668">
        <f t="shared" si="445"/>
        <v>0</v>
      </c>
      <c r="E3668">
        <f>E3667</f>
        <v>-10</v>
      </c>
      <c r="F3668">
        <f t="shared" si="446"/>
        <v>2</v>
      </c>
      <c r="G3668">
        <f>G3667</f>
        <v>-2.2000000000000002</v>
      </c>
      <c r="H3668" s="15">
        <f t="shared" si="442"/>
        <v>-25.6</v>
      </c>
      <c r="J3668" s="335">
        <f t="shared" si="447"/>
        <v>-25.6</v>
      </c>
      <c r="K3668">
        <f>K3667</f>
        <v>0</v>
      </c>
      <c r="L3668">
        <f t="shared" si="448"/>
        <v>2</v>
      </c>
      <c r="M3668">
        <f>M3667</f>
        <v>-2.2000000000000002</v>
      </c>
      <c r="N3668" s="15">
        <f t="shared" si="443"/>
        <v>62.720000000000006</v>
      </c>
      <c r="P3668" s="335">
        <f t="shared" si="449"/>
        <v>62.720000000000006</v>
      </c>
      <c r="Q3668">
        <f>Q3667</f>
        <v>0</v>
      </c>
      <c r="R3668">
        <f t="shared" si="450"/>
        <v>10</v>
      </c>
      <c r="S3668">
        <f>S3667</f>
        <v>20</v>
      </c>
      <c r="T3668" s="162">
        <f t="shared" si="444"/>
        <v>1064.4000000000001</v>
      </c>
    </row>
    <row r="3669" spans="2:26" x14ac:dyDescent="0.35">
      <c r="D3669">
        <f t="shared" si="445"/>
        <v>0</v>
      </c>
      <c r="E3669">
        <f>E3668</f>
        <v>-10</v>
      </c>
      <c r="F3669">
        <f t="shared" si="446"/>
        <v>-2</v>
      </c>
      <c r="G3669">
        <f>G3668</f>
        <v>-2.2000000000000002</v>
      </c>
      <c r="H3669" s="15">
        <f t="shared" si="442"/>
        <v>-38.400000000000006</v>
      </c>
      <c r="J3669" s="335">
        <f t="shared" si="447"/>
        <v>-38.400000000000006</v>
      </c>
      <c r="K3669">
        <f>K3668</f>
        <v>0</v>
      </c>
      <c r="L3669">
        <f t="shared" si="448"/>
        <v>-2</v>
      </c>
      <c r="M3669">
        <f>M3668</f>
        <v>-2.2000000000000002</v>
      </c>
      <c r="N3669" s="15">
        <f t="shared" si="443"/>
        <v>78.080000000000013</v>
      </c>
      <c r="P3669" s="335">
        <f t="shared" si="449"/>
        <v>78.080000000000013</v>
      </c>
      <c r="Q3669">
        <f>Q3668</f>
        <v>0</v>
      </c>
      <c r="R3669">
        <f t="shared" si="450"/>
        <v>-10</v>
      </c>
      <c r="S3669">
        <f>S3668</f>
        <v>20</v>
      </c>
      <c r="T3669" s="162">
        <f t="shared" si="444"/>
        <v>1751.6000000000004</v>
      </c>
    </row>
    <row r="3670" spans="2:26" x14ac:dyDescent="0.35">
      <c r="H3670" s="15"/>
      <c r="J3670" s="335"/>
      <c r="N3670" s="15"/>
      <c r="P3670" s="335"/>
      <c r="T3670" s="162"/>
    </row>
    <row r="3671" spans="2:26" x14ac:dyDescent="0.35">
      <c r="D3671" s="406">
        <v>10</v>
      </c>
      <c r="E3671" s="95">
        <f>E3661</f>
        <v>-10</v>
      </c>
      <c r="F3671">
        <f>F3661</f>
        <v>-2</v>
      </c>
      <c r="G3671" s="95">
        <f>G3661</f>
        <v>-2.2000000000000002</v>
      </c>
      <c r="H3671" s="15">
        <f t="shared" ref="H3671:H3674" si="451">(E3671+F3671)+((D3671-(E3671+F3671))*G3671)</f>
        <v>-60.400000000000006</v>
      </c>
      <c r="J3671" s="335">
        <f>H3671</f>
        <v>-60.400000000000006</v>
      </c>
      <c r="K3671" s="95">
        <f>K3661</f>
        <v>0</v>
      </c>
      <c r="L3671">
        <f>L3661</f>
        <v>-2</v>
      </c>
      <c r="M3671" s="95">
        <f>M3661</f>
        <v>-2.2000000000000002</v>
      </c>
      <c r="N3671" s="15">
        <f t="shared" ref="N3671:N3674" si="452">(K3671+L3671)+((J3671-(K3671+L3671))*M3671)</f>
        <v>126.48000000000002</v>
      </c>
      <c r="P3671" s="335">
        <f>N3671</f>
        <v>126.48000000000002</v>
      </c>
      <c r="Q3671" s="95">
        <f>Q3661</f>
        <v>0</v>
      </c>
      <c r="R3671">
        <f>R3661</f>
        <v>-10</v>
      </c>
      <c r="S3671" s="95">
        <f>S3661</f>
        <v>20</v>
      </c>
      <c r="T3671" s="162">
        <f t="shared" ref="T3671:T3674" si="453">(Q3671+R3671)+((P3671-(Q3671+R3671))*S3671)</f>
        <v>2719.6000000000004</v>
      </c>
    </row>
    <row r="3672" spans="2:26" x14ac:dyDescent="0.35">
      <c r="D3672">
        <f t="shared" ref="D3672:D3674" si="454">D3671</f>
        <v>10</v>
      </c>
      <c r="E3672">
        <f>E3671</f>
        <v>-10</v>
      </c>
      <c r="F3672">
        <f t="shared" ref="F3672:F3673" si="455">F3662</f>
        <v>0</v>
      </c>
      <c r="G3672">
        <f>G3671</f>
        <v>-2.2000000000000002</v>
      </c>
      <c r="H3672" s="15">
        <f t="shared" si="451"/>
        <v>-54</v>
      </c>
      <c r="J3672" s="335">
        <f t="shared" ref="J3672:J3674" si="456">H3672</f>
        <v>-54</v>
      </c>
      <c r="K3672">
        <f>K3671</f>
        <v>0</v>
      </c>
      <c r="L3672">
        <f t="shared" ref="L3672:L3674" si="457">L3662</f>
        <v>0</v>
      </c>
      <c r="M3672">
        <f>M3671</f>
        <v>-2.2000000000000002</v>
      </c>
      <c r="N3672" s="15">
        <f t="shared" si="452"/>
        <v>118.80000000000001</v>
      </c>
      <c r="P3672" s="335">
        <f t="shared" ref="P3672:P3674" si="458">N3672</f>
        <v>118.80000000000001</v>
      </c>
      <c r="Q3672">
        <f>Q3671</f>
        <v>0</v>
      </c>
      <c r="R3672">
        <f t="shared" ref="R3672:R3673" si="459">R3662</f>
        <v>0</v>
      </c>
      <c r="S3672">
        <f>S3671</f>
        <v>20</v>
      </c>
      <c r="T3672" s="162">
        <f t="shared" si="453"/>
        <v>2376</v>
      </c>
    </row>
    <row r="3673" spans="2:26" x14ac:dyDescent="0.35">
      <c r="D3673">
        <f t="shared" si="454"/>
        <v>10</v>
      </c>
      <c r="E3673">
        <f>E3672</f>
        <v>-10</v>
      </c>
      <c r="F3673">
        <f t="shared" si="455"/>
        <v>2</v>
      </c>
      <c r="G3673">
        <f>G3672</f>
        <v>-2.2000000000000002</v>
      </c>
      <c r="H3673" s="15">
        <f t="shared" si="451"/>
        <v>-47.6</v>
      </c>
      <c r="J3673" s="335">
        <f t="shared" si="456"/>
        <v>-47.6</v>
      </c>
      <c r="K3673">
        <f>K3672</f>
        <v>0</v>
      </c>
      <c r="L3673">
        <f t="shared" si="457"/>
        <v>2</v>
      </c>
      <c r="M3673">
        <f>M3672</f>
        <v>-2.2000000000000002</v>
      </c>
      <c r="N3673" s="15">
        <f t="shared" si="452"/>
        <v>111.12000000000002</v>
      </c>
      <c r="P3673" s="335">
        <f t="shared" si="458"/>
        <v>111.12000000000002</v>
      </c>
      <c r="Q3673">
        <f>Q3672</f>
        <v>0</v>
      </c>
      <c r="R3673">
        <f t="shared" si="459"/>
        <v>10</v>
      </c>
      <c r="S3673">
        <f>S3672</f>
        <v>20</v>
      </c>
      <c r="T3673" s="162">
        <f t="shared" si="453"/>
        <v>2032.4000000000003</v>
      </c>
    </row>
    <row r="3674" spans="2:26" x14ac:dyDescent="0.35">
      <c r="D3674">
        <f t="shared" si="454"/>
        <v>10</v>
      </c>
      <c r="E3674">
        <f>E3673</f>
        <v>-10</v>
      </c>
      <c r="F3674">
        <v>-2</v>
      </c>
      <c r="G3674">
        <f>G3673</f>
        <v>-2.2000000000000002</v>
      </c>
      <c r="H3674" s="15">
        <f t="shared" si="451"/>
        <v>-60.400000000000006</v>
      </c>
      <c r="J3674" s="335">
        <f t="shared" si="456"/>
        <v>-60.400000000000006</v>
      </c>
      <c r="K3674">
        <f>K3673</f>
        <v>0</v>
      </c>
      <c r="L3674">
        <f t="shared" si="457"/>
        <v>-2</v>
      </c>
      <c r="M3674">
        <f>M3673</f>
        <v>-2.2000000000000002</v>
      </c>
      <c r="N3674" s="15">
        <f t="shared" si="452"/>
        <v>126.48000000000002</v>
      </c>
      <c r="P3674" s="335">
        <f t="shared" si="458"/>
        <v>126.48000000000002</v>
      </c>
      <c r="Q3674">
        <f>Q3673</f>
        <v>0</v>
      </c>
      <c r="R3674">
        <v>-10</v>
      </c>
      <c r="S3674">
        <v>20</v>
      </c>
      <c r="T3674" s="408">
        <f t="shared" si="453"/>
        <v>2719.6000000000004</v>
      </c>
      <c r="U3674" s="170" t="s">
        <v>3833</v>
      </c>
    </row>
    <row r="3675" spans="2:26" x14ac:dyDescent="0.35">
      <c r="D3675" s="335"/>
      <c r="H3675" s="1"/>
      <c r="O3675" s="8"/>
      <c r="P3675" s="8"/>
      <c r="Q3675" s="8"/>
      <c r="S3675" s="162"/>
    </row>
    <row r="3676" spans="2:26" x14ac:dyDescent="0.35">
      <c r="B3676" s="83" t="s">
        <v>1377</v>
      </c>
      <c r="D3676" t="s">
        <v>3777</v>
      </c>
      <c r="J3676" s="1" t="s">
        <v>3065</v>
      </c>
      <c r="N3676" s="403"/>
      <c r="O3676" s="404"/>
      <c r="Q3676" s="8"/>
      <c r="V3676" s="15"/>
      <c r="X3676" s="13"/>
      <c r="Y3676" s="13"/>
      <c r="Z3676" s="13"/>
    </row>
    <row r="3677" spans="2:26" x14ac:dyDescent="0.35">
      <c r="D3677" t="s">
        <v>3792</v>
      </c>
      <c r="J3677" s="1" t="s">
        <v>3791</v>
      </c>
      <c r="N3677" s="403"/>
      <c r="O3677" s="404"/>
      <c r="Q3677" s="8"/>
      <c r="V3677" s="15"/>
      <c r="X3677" s="13"/>
      <c r="Y3677" s="13"/>
      <c r="Z3677" s="13"/>
    </row>
    <row r="3678" spans="2:26" x14ac:dyDescent="0.35">
      <c r="D3678" t="s">
        <v>4159</v>
      </c>
      <c r="F3678" s="15"/>
      <c r="H3678" s="162"/>
      <c r="J3678" s="1" t="s">
        <v>4158</v>
      </c>
      <c r="K3678" s="162"/>
    </row>
    <row r="3679" spans="2:26" x14ac:dyDescent="0.35">
      <c r="D3679" t="s">
        <v>4499</v>
      </c>
      <c r="F3679" s="15"/>
      <c r="H3679" s="162"/>
      <c r="J3679" s="1" t="s">
        <v>4498</v>
      </c>
      <c r="K3679" s="162"/>
    </row>
    <row r="3680" spans="2:26" x14ac:dyDescent="0.35">
      <c r="D3680" t="s">
        <v>4511</v>
      </c>
      <c r="F3680" s="15"/>
      <c r="G3680" s="1"/>
      <c r="H3680" s="162"/>
      <c r="J3680" s="1" t="s">
        <v>4510</v>
      </c>
      <c r="K3680" s="162"/>
    </row>
    <row r="3681" spans="1:19" x14ac:dyDescent="0.35">
      <c r="F3681" s="15"/>
      <c r="G3681" s="1"/>
      <c r="H3681" s="162"/>
      <c r="J3681" s="1"/>
      <c r="K3681" s="162"/>
    </row>
    <row r="3682" spans="1:19" s="5" customFormat="1" x14ac:dyDescent="0.35">
      <c r="A3682" s="86" t="s">
        <v>7855</v>
      </c>
    </row>
    <row r="3683" spans="1:19" x14ac:dyDescent="0.35">
      <c r="F3683" s="295"/>
      <c r="H3683" s="332"/>
      <c r="I3683" s="316"/>
      <c r="M3683" s="73"/>
      <c r="N3683" s="313"/>
      <c r="O3683" s="73"/>
      <c r="P3683" s="73"/>
      <c r="Q3683" s="313"/>
      <c r="S3683" s="1"/>
    </row>
    <row r="3684" spans="1:19" ht="26.5" x14ac:dyDescent="0.35">
      <c r="E3684" s="123" t="s">
        <v>3410</v>
      </c>
      <c r="F3684" s="357" t="s">
        <v>3364</v>
      </c>
      <c r="G3684" s="357" t="s">
        <v>3363</v>
      </c>
      <c r="H3684" s="357" t="s">
        <v>1862</v>
      </c>
      <c r="I3684" s="123" t="s">
        <v>99</v>
      </c>
      <c r="J3684" s="316"/>
      <c r="L3684" s="73"/>
      <c r="M3684" s="313"/>
      <c r="O3684" s="73"/>
      <c r="P3684" s="73"/>
      <c r="Q3684" s="313"/>
      <c r="S3684" s="1"/>
    </row>
    <row r="3685" spans="1:19" x14ac:dyDescent="0.35">
      <c r="E3685" s="297"/>
      <c r="I3685" s="347"/>
      <c r="J3685" s="316"/>
      <c r="L3685" s="73"/>
      <c r="M3685" s="313"/>
      <c r="O3685" s="73"/>
      <c r="P3685" s="73"/>
      <c r="Q3685" s="313"/>
      <c r="S3685" s="1"/>
    </row>
    <row r="3686" spans="1:19" x14ac:dyDescent="0.35">
      <c r="B3686" s="83" t="s">
        <v>3304</v>
      </c>
      <c r="E3686" s="8">
        <v>2.17</v>
      </c>
      <c r="F3686" s="13">
        <v>7</v>
      </c>
      <c r="G3686" s="13">
        <v>7</v>
      </c>
      <c r="H3686" s="335">
        <f>G3686*F3686</f>
        <v>49</v>
      </c>
      <c r="I3686" s="348" t="s">
        <v>3305</v>
      </c>
      <c r="J3686" s="316"/>
      <c r="L3686" s="73"/>
      <c r="M3686" s="313"/>
      <c r="O3686" s="73"/>
      <c r="P3686" s="73"/>
      <c r="Q3686" s="313"/>
      <c r="S3686" s="1"/>
    </row>
    <row r="3687" spans="1:19" x14ac:dyDescent="0.35">
      <c r="E3687" s="297"/>
      <c r="H3687" s="335"/>
      <c r="I3687" s="877"/>
      <c r="J3687" s="316"/>
      <c r="L3687" s="73"/>
      <c r="M3687" s="313"/>
      <c r="O3687" s="73"/>
      <c r="P3687" s="73"/>
      <c r="Q3687" s="313"/>
      <c r="S3687" s="1"/>
    </row>
    <row r="3688" spans="1:19" x14ac:dyDescent="0.35">
      <c r="B3688" s="83" t="s">
        <v>2133</v>
      </c>
      <c r="E3688" s="8">
        <v>0.2</v>
      </c>
      <c r="F3688" s="13">
        <v>3</v>
      </c>
      <c r="G3688" s="13">
        <v>3</v>
      </c>
      <c r="H3688" s="335">
        <f>G3688*F3688</f>
        <v>9</v>
      </c>
      <c r="I3688" s="348" t="s">
        <v>3321</v>
      </c>
      <c r="J3688" s="316"/>
      <c r="L3688" s="73"/>
      <c r="M3688" s="313"/>
      <c r="O3688" s="73"/>
      <c r="P3688" s="73"/>
      <c r="Q3688" s="313"/>
      <c r="S3688" s="1"/>
    </row>
    <row r="3689" spans="1:19" x14ac:dyDescent="0.35">
      <c r="E3689" s="297"/>
      <c r="H3689" s="335"/>
      <c r="I3689" s="877"/>
      <c r="J3689" s="316"/>
      <c r="L3689" s="73"/>
      <c r="M3689" s="313"/>
      <c r="O3689" s="73"/>
      <c r="P3689" s="73"/>
      <c r="Q3689" s="313"/>
      <c r="S3689" s="1"/>
    </row>
    <row r="3690" spans="1:19" x14ac:dyDescent="0.35">
      <c r="B3690" s="83" t="s">
        <v>3301</v>
      </c>
      <c r="E3690" s="8">
        <v>0.93</v>
      </c>
      <c r="F3690" s="13">
        <v>3</v>
      </c>
      <c r="G3690" s="13">
        <v>3</v>
      </c>
      <c r="H3690" s="335">
        <f>G3690*F3690</f>
        <v>9</v>
      </c>
      <c r="I3690" s="348" t="s">
        <v>3303</v>
      </c>
      <c r="J3690" s="316"/>
      <c r="L3690" s="73"/>
      <c r="M3690" s="313"/>
      <c r="O3690" s="73"/>
      <c r="P3690" s="73"/>
      <c r="Q3690" s="313"/>
      <c r="S3690" s="1"/>
    </row>
    <row r="3691" spans="1:19" x14ac:dyDescent="0.35">
      <c r="E3691" s="297"/>
      <c r="H3691" s="335"/>
      <c r="I3691" s="877"/>
      <c r="J3691" s="316"/>
      <c r="L3691" s="73"/>
      <c r="M3691" s="313"/>
      <c r="O3691" s="73"/>
      <c r="P3691" s="73"/>
      <c r="Q3691" s="313"/>
      <c r="S3691" s="1"/>
    </row>
    <row r="3692" spans="1:19" x14ac:dyDescent="0.35">
      <c r="B3692" s="83" t="s">
        <v>3295</v>
      </c>
      <c r="E3692" s="8">
        <v>0.36</v>
      </c>
      <c r="F3692" s="13">
        <v>6.4</v>
      </c>
      <c r="G3692" s="13">
        <v>5.0999999999999996</v>
      </c>
      <c r="H3692" s="335">
        <f t="shared" ref="H3692:H3694" si="460">G3692*F3692</f>
        <v>32.64</v>
      </c>
      <c r="I3692" s="348" t="s">
        <v>3298</v>
      </c>
      <c r="J3692" s="316"/>
      <c r="L3692" s="73"/>
      <c r="M3692" s="313"/>
      <c r="O3692" s="73"/>
      <c r="P3692" s="73"/>
      <c r="Q3692" s="313"/>
      <c r="S3692" s="1"/>
    </row>
    <row r="3693" spans="1:19" x14ac:dyDescent="0.35">
      <c r="E3693" s="8">
        <v>0.2</v>
      </c>
      <c r="F3693" s="13">
        <v>6.4</v>
      </c>
      <c r="G3693" s="13">
        <v>3.1</v>
      </c>
      <c r="H3693" s="335">
        <f t="shared" si="460"/>
        <v>19.840000000000003</v>
      </c>
      <c r="I3693" s="348" t="s">
        <v>3299</v>
      </c>
      <c r="J3693" s="316"/>
      <c r="L3693" s="73"/>
      <c r="M3693" s="313"/>
      <c r="O3693" s="73"/>
      <c r="P3693" s="73"/>
      <c r="Q3693" s="313"/>
      <c r="S3693" s="1"/>
    </row>
    <row r="3694" spans="1:19" x14ac:dyDescent="0.35">
      <c r="E3694" s="8">
        <v>0.22</v>
      </c>
      <c r="F3694" s="13">
        <v>6.4</v>
      </c>
      <c r="G3694" s="13">
        <v>3.1</v>
      </c>
      <c r="H3694" s="335">
        <f t="shared" si="460"/>
        <v>19.840000000000003</v>
      </c>
      <c r="I3694" s="348" t="s">
        <v>3300</v>
      </c>
      <c r="J3694" s="316"/>
      <c r="L3694" s="73"/>
      <c r="M3694" s="313"/>
      <c r="O3694" s="73"/>
      <c r="P3694" s="73"/>
      <c r="Q3694" s="313"/>
      <c r="S3694" s="1"/>
    </row>
    <row r="3695" spans="1:19" x14ac:dyDescent="0.35">
      <c r="E3695" s="297"/>
      <c r="H3695" s="335"/>
      <c r="I3695" s="877"/>
      <c r="J3695" s="316"/>
      <c r="L3695" s="73"/>
      <c r="M3695" s="313"/>
      <c r="O3695" s="73"/>
      <c r="P3695" s="73"/>
      <c r="Q3695" s="313"/>
      <c r="S3695" s="1"/>
    </row>
    <row r="3696" spans="1:19" x14ac:dyDescent="0.35">
      <c r="B3696" s="83" t="s">
        <v>3289</v>
      </c>
      <c r="E3696" s="8">
        <v>0.35</v>
      </c>
      <c r="F3696" s="13">
        <v>6.4</v>
      </c>
      <c r="G3696" s="13">
        <v>5.4</v>
      </c>
      <c r="H3696" s="335">
        <f t="shared" ref="H3696:H3698" si="461">G3696*F3696</f>
        <v>34.56</v>
      </c>
      <c r="I3696" s="348" t="s">
        <v>3291</v>
      </c>
    </row>
    <row r="3697" spans="2:20" x14ac:dyDescent="0.35">
      <c r="E3697" s="8">
        <v>0.11</v>
      </c>
      <c r="F3697" s="13">
        <v>6.4</v>
      </c>
      <c r="G3697" s="13">
        <v>5.4</v>
      </c>
      <c r="H3697" s="335">
        <f t="shared" si="461"/>
        <v>34.56</v>
      </c>
      <c r="I3697" s="348" t="s">
        <v>3293</v>
      </c>
    </row>
    <row r="3698" spans="2:20" x14ac:dyDescent="0.35">
      <c r="E3698" s="8">
        <v>0.12</v>
      </c>
      <c r="F3698" s="13">
        <v>2.4</v>
      </c>
      <c r="G3698" s="13">
        <v>2.2000000000000002</v>
      </c>
      <c r="H3698" s="335">
        <f t="shared" si="461"/>
        <v>5.28</v>
      </c>
      <c r="I3698" s="348" t="s">
        <v>3405</v>
      </c>
    </row>
    <row r="3699" spans="2:20" x14ac:dyDescent="0.35">
      <c r="E3699" s="8"/>
      <c r="H3699" s="335"/>
      <c r="I3699" s="348"/>
    </row>
    <row r="3700" spans="2:20" x14ac:dyDescent="0.35">
      <c r="B3700" s="83" t="s">
        <v>3287</v>
      </c>
      <c r="E3700" s="8">
        <v>1.56</v>
      </c>
      <c r="F3700" s="13">
        <v>11.6</v>
      </c>
      <c r="G3700" s="13">
        <v>6</v>
      </c>
      <c r="H3700" s="335">
        <f>G3700*F3700</f>
        <v>69.599999999999994</v>
      </c>
      <c r="I3700" s="348" t="s">
        <v>3288</v>
      </c>
    </row>
    <row r="3701" spans="2:20" x14ac:dyDescent="0.35">
      <c r="E3701" s="8"/>
      <c r="H3701" s="335"/>
      <c r="I3701" s="348"/>
    </row>
    <row r="3702" spans="2:20" x14ac:dyDescent="0.35">
      <c r="B3702" s="83" t="s">
        <v>3020</v>
      </c>
      <c r="E3702" s="8">
        <v>1.9</v>
      </c>
      <c r="F3702" s="13">
        <v>10.5</v>
      </c>
      <c r="G3702" s="13">
        <v>6</v>
      </c>
      <c r="H3702" s="335">
        <f>G3702*F3702</f>
        <v>63</v>
      </c>
      <c r="I3702" s="348" t="str">
        <f>T1164</f>
        <v>CANbus Trancvr: Isolated, 1500V, 1.7V to 5.5V uP pwr, 5V CANbus pwr, 12MHz, Ri-8 package (similar to SO-8 yet 10mm wide), #ADM3050EBRIZ-RL</v>
      </c>
    </row>
    <row r="3703" spans="2:20" x14ac:dyDescent="0.35">
      <c r="E3703" s="8"/>
      <c r="H3703" s="335"/>
      <c r="I3703" s="348"/>
    </row>
    <row r="3704" spans="2:20" x14ac:dyDescent="0.35">
      <c r="B3704" s="83" t="s">
        <v>3286</v>
      </c>
      <c r="E3704" s="8">
        <v>1.1200000000000001</v>
      </c>
      <c r="F3704" s="13">
        <v>3</v>
      </c>
      <c r="G3704" s="13">
        <v>3</v>
      </c>
      <c r="H3704" s="335">
        <f>G3704*F3704</f>
        <v>9</v>
      </c>
      <c r="I3704" s="348" t="s">
        <v>3399</v>
      </c>
    </row>
    <row r="3705" spans="2:20" x14ac:dyDescent="0.35">
      <c r="E3705" s="8"/>
      <c r="H3705" s="335"/>
      <c r="I3705" s="348"/>
    </row>
    <row r="3706" spans="2:20" x14ac:dyDescent="0.35">
      <c r="B3706" s="83" t="s">
        <v>3273</v>
      </c>
      <c r="D3706" s="187"/>
      <c r="E3706" s="8">
        <v>0.68</v>
      </c>
      <c r="F3706" s="13">
        <v>10</v>
      </c>
      <c r="G3706" s="13">
        <v>6.7</v>
      </c>
      <c r="H3706" s="335">
        <f t="shared" ref="H3706:H3707" si="462">G3706*F3706</f>
        <v>67</v>
      </c>
      <c r="I3706" s="348" t="s">
        <v>3407</v>
      </c>
    </row>
    <row r="3707" spans="2:20" x14ac:dyDescent="0.35">
      <c r="D3707" s="187"/>
      <c r="E3707" s="8">
        <v>2.41</v>
      </c>
      <c r="F3707" s="13">
        <v>10.3</v>
      </c>
      <c r="G3707" s="13">
        <v>15.2</v>
      </c>
      <c r="H3707" s="335">
        <f t="shared" si="462"/>
        <v>156.56</v>
      </c>
      <c r="I3707" s="348" t="s">
        <v>3274</v>
      </c>
    </row>
    <row r="3708" spans="2:20" x14ac:dyDescent="0.35">
      <c r="E3708" s="8"/>
      <c r="H3708" s="335"/>
      <c r="I3708" s="155"/>
    </row>
    <row r="3709" spans="2:20" x14ac:dyDescent="0.35">
      <c r="B3709" s="83" t="s">
        <v>3271</v>
      </c>
      <c r="D3709" s="187"/>
      <c r="E3709" s="8">
        <v>0.1</v>
      </c>
      <c r="F3709" s="13">
        <v>5.6</v>
      </c>
      <c r="G3709" s="13">
        <v>3.9</v>
      </c>
      <c r="H3709" s="335">
        <f>G3709*F3709</f>
        <v>21.84</v>
      </c>
      <c r="I3709" s="348" t="s">
        <v>3272</v>
      </c>
    </row>
    <row r="3710" spans="2:20" x14ac:dyDescent="0.35">
      <c r="E3710" s="8"/>
      <c r="H3710" s="335"/>
      <c r="I3710" s="155"/>
    </row>
    <row r="3711" spans="2:20" ht="15.5" x14ac:dyDescent="0.35">
      <c r="B3711" s="83" t="s">
        <v>3256</v>
      </c>
      <c r="C3711" s="187" t="s">
        <v>3258</v>
      </c>
      <c r="E3711" s="323">
        <v>3.6999999999999998E-2</v>
      </c>
      <c r="F3711" s="13">
        <v>1.5</v>
      </c>
      <c r="G3711" s="13">
        <v>0.85</v>
      </c>
      <c r="H3711" s="335">
        <f t="shared" ref="H3711:H3715" si="463">G3711*F3711</f>
        <v>1.2749999999999999</v>
      </c>
      <c r="I3711" s="348" t="s">
        <v>3266</v>
      </c>
      <c r="J3711" s="288"/>
      <c r="K3711" s="337"/>
      <c r="L3711" s="338"/>
      <c r="M3711" s="291"/>
      <c r="O3711" s="338"/>
      <c r="P3711" s="338"/>
      <c r="Q3711" s="291"/>
      <c r="R3711" s="337"/>
      <c r="S3711" s="339"/>
      <c r="T3711" s="337"/>
    </row>
    <row r="3712" spans="2:20" ht="15.5" x14ac:dyDescent="0.35">
      <c r="C3712" s="187"/>
      <c r="E3712" s="323">
        <v>0.14399999999999999</v>
      </c>
      <c r="F3712" s="13">
        <v>1.5</v>
      </c>
      <c r="G3712" s="13">
        <v>0.85</v>
      </c>
      <c r="H3712" s="335">
        <f t="shared" si="463"/>
        <v>1.2749999999999999</v>
      </c>
      <c r="I3712" s="348" t="s">
        <v>3267</v>
      </c>
      <c r="J3712" s="288"/>
      <c r="K3712" s="337"/>
      <c r="L3712" s="338"/>
      <c r="M3712" s="291"/>
      <c r="O3712" s="338"/>
      <c r="P3712" s="338"/>
      <c r="Q3712" s="291"/>
      <c r="R3712" s="337"/>
      <c r="S3712" s="339"/>
      <c r="T3712" s="337"/>
    </row>
    <row r="3713" spans="2:20" ht="15.5" x14ac:dyDescent="0.35">
      <c r="C3713" s="187"/>
      <c r="E3713" s="323">
        <v>1.0999999999999999E-2</v>
      </c>
      <c r="F3713" s="13">
        <v>1.5</v>
      </c>
      <c r="G3713" s="13">
        <v>0.85</v>
      </c>
      <c r="H3713" s="335">
        <f t="shared" si="463"/>
        <v>1.2749999999999999</v>
      </c>
      <c r="I3713" s="348" t="s">
        <v>3268</v>
      </c>
      <c r="J3713" s="288"/>
      <c r="K3713" s="337"/>
      <c r="L3713" s="338"/>
      <c r="M3713" s="291"/>
      <c r="O3713" s="338"/>
      <c r="P3713" s="338"/>
      <c r="Q3713" s="291"/>
      <c r="R3713" s="337"/>
      <c r="S3713" s="339"/>
      <c r="T3713" s="337"/>
    </row>
    <row r="3714" spans="2:20" ht="15.5" x14ac:dyDescent="0.35">
      <c r="C3714" s="187"/>
      <c r="E3714" s="323">
        <v>7.0000000000000007E-2</v>
      </c>
      <c r="F3714" s="13">
        <v>3.2</v>
      </c>
      <c r="G3714" s="13">
        <v>1.6</v>
      </c>
      <c r="H3714" s="335">
        <f t="shared" si="463"/>
        <v>5.120000000000001</v>
      </c>
      <c r="I3714" s="348" t="s">
        <v>3270</v>
      </c>
      <c r="J3714" s="288"/>
      <c r="K3714" s="337"/>
      <c r="L3714" s="338"/>
      <c r="M3714" s="291"/>
      <c r="O3714" s="338"/>
      <c r="P3714" s="338"/>
      <c r="Q3714" s="291"/>
      <c r="R3714" s="337"/>
      <c r="S3714" s="339"/>
      <c r="T3714" s="337"/>
    </row>
    <row r="3715" spans="2:20" ht="15.5" x14ac:dyDescent="0.35">
      <c r="C3715" s="187"/>
      <c r="E3715" s="323">
        <v>3.1E-2</v>
      </c>
      <c r="F3715" s="13">
        <v>3.2</v>
      </c>
      <c r="G3715" s="13">
        <v>1.6</v>
      </c>
      <c r="H3715" s="335">
        <f t="shared" si="463"/>
        <v>5.120000000000001</v>
      </c>
      <c r="I3715" s="348" t="s">
        <v>3269</v>
      </c>
      <c r="J3715" s="288"/>
      <c r="K3715" s="337"/>
      <c r="L3715" s="338"/>
      <c r="M3715" s="291"/>
      <c r="O3715" s="338"/>
      <c r="P3715" s="338"/>
      <c r="Q3715" s="291"/>
      <c r="R3715" s="337"/>
      <c r="S3715" s="339"/>
      <c r="T3715" s="337"/>
    </row>
    <row r="3716" spans="2:20" ht="15.5" x14ac:dyDescent="0.35">
      <c r="C3716" s="187"/>
      <c r="E3716" s="8"/>
      <c r="H3716" s="335"/>
      <c r="I3716" s="348"/>
      <c r="J3716" s="288"/>
      <c r="K3716" s="337"/>
      <c r="L3716" s="338"/>
      <c r="M3716" s="291"/>
      <c r="O3716" s="338"/>
      <c r="P3716" s="338"/>
      <c r="Q3716" s="291"/>
      <c r="R3716" s="337"/>
      <c r="S3716" s="339"/>
      <c r="T3716" s="337"/>
    </row>
    <row r="3717" spans="2:20" ht="15.5" x14ac:dyDescent="0.35">
      <c r="C3717" s="187" t="s">
        <v>3262</v>
      </c>
      <c r="E3717" s="8">
        <f>0.68</f>
        <v>0.68</v>
      </c>
      <c r="F3717" s="13">
        <v>3.2</v>
      </c>
      <c r="G3717" s="13">
        <v>1.5</v>
      </c>
      <c r="H3717" s="335">
        <f>G3717*F3717</f>
        <v>4.8000000000000007</v>
      </c>
      <c r="I3717" s="348" t="s">
        <v>3265</v>
      </c>
      <c r="K3717" s="337"/>
      <c r="L3717" s="338"/>
      <c r="M3717" s="291"/>
      <c r="O3717" s="338"/>
      <c r="P3717" s="338"/>
      <c r="Q3717" s="291"/>
      <c r="R3717" s="337"/>
      <c r="S3717" s="339"/>
      <c r="T3717" s="337"/>
    </row>
    <row r="3718" spans="2:20" ht="15.5" x14ac:dyDescent="0.35">
      <c r="C3718" s="187"/>
      <c r="E3718" s="8"/>
      <c r="H3718" s="335"/>
      <c r="I3718" s="155"/>
      <c r="K3718" s="337"/>
      <c r="L3718" s="338"/>
      <c r="M3718" s="291"/>
      <c r="O3718" s="338"/>
      <c r="P3718" s="338"/>
      <c r="Q3718" s="291"/>
      <c r="R3718" s="337"/>
      <c r="S3718" s="339"/>
      <c r="T3718" s="337"/>
    </row>
    <row r="3719" spans="2:20" ht="15.5" x14ac:dyDescent="0.35">
      <c r="C3719" s="187" t="s">
        <v>3257</v>
      </c>
      <c r="E3719" s="336">
        <v>0.12</v>
      </c>
      <c r="F3719" s="13">
        <v>6.3</v>
      </c>
      <c r="G3719" s="13">
        <v>3.1</v>
      </c>
      <c r="H3719" s="335">
        <f t="shared" ref="H3719:H3720" si="464">G3719*F3719</f>
        <v>19.53</v>
      </c>
      <c r="I3719" s="348" t="s">
        <v>3263</v>
      </c>
      <c r="J3719" s="288"/>
      <c r="K3719" s="337"/>
      <c r="L3719" s="338"/>
      <c r="M3719" s="291"/>
      <c r="O3719" s="338"/>
      <c r="P3719" s="338"/>
      <c r="Q3719" s="291"/>
      <c r="R3719" s="337"/>
      <c r="S3719" s="339"/>
      <c r="T3719" s="337"/>
    </row>
    <row r="3720" spans="2:20" x14ac:dyDescent="0.35">
      <c r="E3720" s="336">
        <v>0.12</v>
      </c>
      <c r="F3720" s="13">
        <v>6.3</v>
      </c>
      <c r="G3720" s="13">
        <v>3.1</v>
      </c>
      <c r="H3720" s="335">
        <f t="shared" si="464"/>
        <v>19.53</v>
      </c>
      <c r="I3720" s="348" t="s">
        <v>3264</v>
      </c>
    </row>
    <row r="3721" spans="2:20" x14ac:dyDescent="0.35">
      <c r="E3721" s="336"/>
      <c r="F3721" s="13"/>
      <c r="G3721" s="13"/>
      <c r="H3721" s="335"/>
      <c r="I3721" s="348"/>
    </row>
    <row r="3722" spans="2:20" x14ac:dyDescent="0.35">
      <c r="C3722" s="187" t="s">
        <v>3421</v>
      </c>
      <c r="E3722" s="336">
        <v>0.05</v>
      </c>
      <c r="F3722" s="13">
        <v>1.5</v>
      </c>
      <c r="G3722" s="13">
        <v>0.85</v>
      </c>
      <c r="H3722" s="335">
        <f t="shared" ref="H3722" si="465">G3722*F3722</f>
        <v>1.2749999999999999</v>
      </c>
      <c r="I3722" s="348" t="s">
        <v>3422</v>
      </c>
    </row>
    <row r="3723" spans="2:20" x14ac:dyDescent="0.35">
      <c r="H3723" s="335"/>
      <c r="I3723" s="155"/>
    </row>
    <row r="3724" spans="2:20" ht="15.5" x14ac:dyDescent="0.35">
      <c r="B3724" s="83" t="s">
        <v>3253</v>
      </c>
      <c r="E3724" s="336">
        <v>0.12</v>
      </c>
      <c r="F3724" s="13">
        <v>3.2</v>
      </c>
      <c r="G3724" s="13">
        <v>2.5</v>
      </c>
      <c r="H3724" s="335">
        <f t="shared" ref="H3724:H3726" si="466">G3724*F3724</f>
        <v>8</v>
      </c>
      <c r="I3724" s="348" t="s">
        <v>3255</v>
      </c>
      <c r="J3724" s="288"/>
      <c r="K3724" s="337"/>
      <c r="L3724" s="338"/>
      <c r="M3724" s="291"/>
      <c r="O3724" s="338"/>
      <c r="P3724" s="338"/>
      <c r="Q3724" s="291"/>
      <c r="R3724" s="337"/>
      <c r="S3724" s="339"/>
      <c r="T3724" s="337"/>
    </row>
    <row r="3725" spans="2:20" ht="15.5" x14ac:dyDescent="0.35">
      <c r="E3725" s="336">
        <v>2.5999999999999999E-2</v>
      </c>
      <c r="F3725" s="13">
        <v>2</v>
      </c>
      <c r="G3725" s="13">
        <v>1.25</v>
      </c>
      <c r="H3725" s="335">
        <f t="shared" si="466"/>
        <v>2.5</v>
      </c>
      <c r="I3725" s="348" t="s">
        <v>3252</v>
      </c>
      <c r="J3725" s="288"/>
      <c r="K3725" s="337"/>
      <c r="L3725" s="338"/>
      <c r="M3725" s="291"/>
      <c r="O3725" s="338"/>
      <c r="P3725" s="338"/>
      <c r="Q3725" s="291"/>
      <c r="R3725" s="337"/>
      <c r="S3725" s="339"/>
      <c r="T3725" s="337"/>
    </row>
    <row r="3726" spans="2:20" ht="15.5" x14ac:dyDescent="0.35">
      <c r="E3726" s="336">
        <v>4.3999999999999997E-2</v>
      </c>
      <c r="F3726" s="13">
        <v>3.2</v>
      </c>
      <c r="G3726" s="13">
        <v>1.6</v>
      </c>
      <c r="H3726" s="335">
        <f t="shared" si="466"/>
        <v>5.120000000000001</v>
      </c>
      <c r="I3726" s="348" t="s">
        <v>3254</v>
      </c>
      <c r="J3726" s="288"/>
      <c r="K3726" s="337"/>
      <c r="L3726" s="338"/>
      <c r="M3726" s="291"/>
      <c r="O3726" s="338"/>
      <c r="P3726" s="338"/>
      <c r="Q3726" s="291"/>
      <c r="R3726" s="337"/>
      <c r="S3726" s="339"/>
      <c r="T3726" s="337"/>
    </row>
    <row r="3727" spans="2:20" ht="15.5" x14ac:dyDescent="0.35">
      <c r="E3727" s="336"/>
      <c r="H3727" s="335"/>
      <c r="I3727" s="348"/>
      <c r="J3727" s="288"/>
      <c r="K3727" s="337"/>
      <c r="L3727" s="338"/>
      <c r="M3727" s="291"/>
      <c r="O3727" s="338"/>
      <c r="P3727" s="338"/>
      <c r="Q3727" s="291"/>
      <c r="R3727" s="337"/>
      <c r="S3727" s="339"/>
      <c r="T3727" s="337"/>
    </row>
    <row r="3728" spans="2:20" ht="15.5" x14ac:dyDescent="0.35">
      <c r="B3728" s="83" t="s">
        <v>3259</v>
      </c>
      <c r="E3728" s="336">
        <v>0.08</v>
      </c>
      <c r="F3728" s="13">
        <v>2.4</v>
      </c>
      <c r="G3728" s="13">
        <v>2.4</v>
      </c>
      <c r="H3728" s="335">
        <f>G3728*F3728</f>
        <v>5.76</v>
      </c>
      <c r="I3728" s="878" t="s">
        <v>3408</v>
      </c>
      <c r="J3728" s="338"/>
      <c r="K3728" s="337"/>
      <c r="L3728" s="338"/>
      <c r="M3728" s="291"/>
      <c r="O3728" s="337"/>
      <c r="P3728" s="339"/>
      <c r="Q3728" s="337"/>
      <c r="R3728" s="337"/>
      <c r="S3728" s="337"/>
      <c r="T3728" s="337"/>
    </row>
    <row r="3729" spans="1:23" ht="15.5" x14ac:dyDescent="0.35">
      <c r="E3729" s="336">
        <v>0.85</v>
      </c>
      <c r="F3729" s="13">
        <v>13</v>
      </c>
      <c r="G3729" s="13">
        <v>12</v>
      </c>
      <c r="H3729" s="335">
        <f>G3729*F3729</f>
        <v>156</v>
      </c>
      <c r="I3729" s="878" t="s">
        <v>3409</v>
      </c>
      <c r="J3729" s="338"/>
      <c r="K3729" s="337"/>
      <c r="L3729" s="338"/>
      <c r="M3729" s="291"/>
      <c r="O3729" s="337"/>
      <c r="P3729" s="339"/>
      <c r="Q3729" s="337"/>
      <c r="R3729" s="337"/>
      <c r="S3729" s="337"/>
      <c r="T3729" s="337"/>
    </row>
    <row r="3731" spans="1:23" s="5" customFormat="1" x14ac:dyDescent="0.35">
      <c r="A3731" s="86" t="s">
        <v>7856</v>
      </c>
    </row>
    <row r="3732" spans="1:23" x14ac:dyDescent="0.35">
      <c r="F3732" s="335"/>
      <c r="G3732" s="335"/>
      <c r="H3732" s="162"/>
      <c r="I3732" s="335"/>
    </row>
    <row r="3733" spans="1:23" x14ac:dyDescent="0.35">
      <c r="G3733" s="335"/>
      <c r="H3733" s="335"/>
      <c r="I3733" s="335"/>
      <c r="U3733" s="73" t="s">
        <v>3439</v>
      </c>
      <c r="V3733" s="374">
        <f>SUM(V3735:V3789)</f>
        <v>21.133999999999993</v>
      </c>
      <c r="W3733" s="375">
        <f>SUM(W3735:W3789)</f>
        <v>1654.8699999999992</v>
      </c>
    </row>
    <row r="3734" spans="1:23" ht="26.5" x14ac:dyDescent="0.35">
      <c r="E3734" s="123" t="s">
        <v>3410</v>
      </c>
      <c r="F3734" s="357" t="s">
        <v>3364</v>
      </c>
      <c r="G3734" s="357" t="s">
        <v>3363</v>
      </c>
      <c r="H3734" s="357" t="s">
        <v>1862</v>
      </c>
      <c r="I3734" s="123" t="s">
        <v>99</v>
      </c>
      <c r="U3734" s="123" t="s">
        <v>3411</v>
      </c>
      <c r="V3734" s="123" t="s">
        <v>3412</v>
      </c>
      <c r="W3734" s="123" t="s">
        <v>3413</v>
      </c>
    </row>
    <row r="3735" spans="1:23" x14ac:dyDescent="0.35">
      <c r="B3735" s="83" t="s">
        <v>3304</v>
      </c>
      <c r="E3735" s="9">
        <f>E3686</f>
        <v>2.17</v>
      </c>
      <c r="F3735" s="335">
        <f t="shared" ref="F3735:I3735" si="467">F3686</f>
        <v>7</v>
      </c>
      <c r="G3735" s="335">
        <f t="shared" si="467"/>
        <v>7</v>
      </c>
      <c r="H3735" s="162">
        <f t="shared" si="467"/>
        <v>49</v>
      </c>
      <c r="I3735" s="9" t="str">
        <f t="shared" si="467"/>
        <v>Microprocessor: 32bit, M4, 80MHz, 20KB ram, 64KB flash, 3.3V, DAC, ADC, Timers, Comparator, CANbus, Floating Pt, 48VQFN, #XMC4108Q48K64BAXUMA1</v>
      </c>
      <c r="U3735">
        <v>1</v>
      </c>
      <c r="V3735" s="9">
        <f>U3735*E3735</f>
        <v>2.17</v>
      </c>
      <c r="W3735" s="15">
        <f>U3735*H3735</f>
        <v>49</v>
      </c>
    </row>
    <row r="3736" spans="1:23" x14ac:dyDescent="0.35">
      <c r="E3736" s="9">
        <f>E3702</f>
        <v>1.9</v>
      </c>
      <c r="F3736" s="335">
        <f t="shared" ref="F3736:I3736" si="468">F3702</f>
        <v>10.5</v>
      </c>
      <c r="G3736" s="335">
        <f t="shared" si="468"/>
        <v>6</v>
      </c>
      <c r="H3736" s="162">
        <f t="shared" si="468"/>
        <v>63</v>
      </c>
      <c r="I3736" s="9" t="str">
        <f t="shared" si="468"/>
        <v>CANbus Trancvr: Isolated, 1500V, 1.7V to 5.5V uP pwr, 5V CANbus pwr, 12MHz, Ri-8 package (similar to SO-8 yet 10mm wide), #ADM3050EBRIZ-RL</v>
      </c>
      <c r="U3736">
        <v>1</v>
      </c>
      <c r="V3736" s="9">
        <f>U3736*E3736</f>
        <v>1.9</v>
      </c>
      <c r="W3736" s="15">
        <f>U3736*H3736</f>
        <v>63</v>
      </c>
    </row>
    <row r="3737" spans="1:23" x14ac:dyDescent="0.35">
      <c r="F3737" s="335"/>
      <c r="G3737" s="335"/>
      <c r="H3737" s="162"/>
      <c r="I3737" s="335"/>
      <c r="W3737" s="15"/>
    </row>
    <row r="3738" spans="1:23" x14ac:dyDescent="0.35">
      <c r="B3738" s="83" t="s">
        <v>1909</v>
      </c>
      <c r="E3738" s="9">
        <f>E3729</f>
        <v>0.85</v>
      </c>
      <c r="F3738" s="335">
        <f t="shared" ref="F3738:I3738" si="469">F3729</f>
        <v>13</v>
      </c>
      <c r="G3738" s="335">
        <f t="shared" si="469"/>
        <v>12</v>
      </c>
      <c r="H3738" s="162">
        <f t="shared" si="469"/>
        <v>156</v>
      </c>
      <c r="I3738" s="9" t="str">
        <f t="shared" si="469"/>
        <v>Ind: 56uH, 4A rating, 0.056Ω at DC, 13 x 12 x 6.5mm, shielded, wirewound, #HCM1A1307V2-560-R</v>
      </c>
      <c r="U3738">
        <v>4</v>
      </c>
      <c r="V3738" s="9">
        <f t="shared" ref="V3738:V3741" si="470">U3738*E3738</f>
        <v>3.4</v>
      </c>
      <c r="W3738" s="15">
        <f t="shared" ref="W3738:W3741" si="471">U3738*H3738</f>
        <v>624</v>
      </c>
    </row>
    <row r="3739" spans="1:23" x14ac:dyDescent="0.35">
      <c r="E3739" s="9">
        <f>E3724</f>
        <v>0.12</v>
      </c>
      <c r="F3739" s="335">
        <f t="shared" ref="F3739:I3739" si="472">F3724</f>
        <v>3.2</v>
      </c>
      <c r="G3739" s="335">
        <f t="shared" si="472"/>
        <v>2.5</v>
      </c>
      <c r="H3739" s="162">
        <f t="shared" si="472"/>
        <v>8</v>
      </c>
      <c r="I3739" s="9" t="str">
        <f t="shared" si="472"/>
        <v>Cap: 2.2uF, 100V, 1210, $0.12, #1276-CL32B225KCJSNNF</v>
      </c>
      <c r="U3739">
        <v>18</v>
      </c>
      <c r="V3739" s="9">
        <f t="shared" si="470"/>
        <v>2.16</v>
      </c>
      <c r="W3739" s="15">
        <f t="shared" si="471"/>
        <v>144</v>
      </c>
    </row>
    <row r="3740" spans="1:23" x14ac:dyDescent="0.35">
      <c r="E3740" s="9">
        <f>E3706</f>
        <v>0.68</v>
      </c>
      <c r="F3740" s="335">
        <f t="shared" ref="F3740:I3740" si="473">F3706</f>
        <v>10</v>
      </c>
      <c r="G3740" s="335">
        <f t="shared" si="473"/>
        <v>6.7</v>
      </c>
      <c r="H3740" s="162">
        <f t="shared" si="473"/>
        <v>67</v>
      </c>
      <c r="I3740" s="9" t="str">
        <f t="shared" si="473"/>
        <v>Mosfet: 100V, 0.005Ω, 92A, DPAK (7x10mm), #TPH4R10ANL,L1Q</v>
      </c>
      <c r="U3740">
        <v>5</v>
      </c>
      <c r="V3740" s="9">
        <f t="shared" si="470"/>
        <v>3.4000000000000004</v>
      </c>
      <c r="W3740" s="15">
        <f t="shared" si="471"/>
        <v>335</v>
      </c>
    </row>
    <row r="3741" spans="1:23" x14ac:dyDescent="0.35">
      <c r="E3741" s="9">
        <f>E3709</f>
        <v>0.1</v>
      </c>
      <c r="F3741" s="335">
        <f t="shared" ref="F3741:I3741" si="474">F3709</f>
        <v>5.6</v>
      </c>
      <c r="G3741" s="335">
        <f t="shared" si="474"/>
        <v>3.9</v>
      </c>
      <c r="H3741" s="162">
        <f t="shared" si="474"/>
        <v>21.84</v>
      </c>
      <c r="I3741" s="9" t="str">
        <f t="shared" si="474"/>
        <v>Zener: 82V, On: 82V @ 5mA, Off: 62V @ 1uA, 18mA max, DO-214AA (SMB), #1SMB5947 M4G</v>
      </c>
      <c r="U3741">
        <v>1</v>
      </c>
      <c r="V3741" s="9">
        <f t="shared" si="470"/>
        <v>0.1</v>
      </c>
      <c r="W3741" s="15">
        <f t="shared" si="471"/>
        <v>21.84</v>
      </c>
    </row>
    <row r="3742" spans="1:23" x14ac:dyDescent="0.35">
      <c r="E3742" s="9"/>
      <c r="F3742" s="335"/>
      <c r="G3742" s="335"/>
      <c r="H3742" s="162"/>
      <c r="I3742" s="9"/>
      <c r="W3742" s="15"/>
    </row>
    <row r="3743" spans="1:23" x14ac:dyDescent="0.35">
      <c r="B3743" s="83" t="s">
        <v>51</v>
      </c>
      <c r="E3743" s="9">
        <f>E3700</f>
        <v>1.56</v>
      </c>
      <c r="F3743" s="335">
        <f>F3700</f>
        <v>11.6</v>
      </c>
      <c r="G3743" s="335">
        <f>G3700</f>
        <v>6</v>
      </c>
      <c r="H3743" s="162">
        <f>H3700</f>
        <v>69.599999999999994</v>
      </c>
      <c r="I3743" s="9" t="str">
        <f>I3700</f>
        <v>DC-to-DC converter: 3.3Vout, 5%, 30 to 300mA out, 4.5 to 5.5Vin, Isolated, 1W, PCB Mount, 11.6mm x 6.0mm x 10.2mm H, #PDSE1-S5-S3-S</v>
      </c>
      <c r="U3743">
        <v>1</v>
      </c>
      <c r="V3743" s="9">
        <f t="shared" ref="V3743:V3747" si="475">U3743*E3743</f>
        <v>1.56</v>
      </c>
      <c r="W3743" s="15">
        <f t="shared" ref="W3743:W3747" si="476">U3743*H3743</f>
        <v>69.599999999999994</v>
      </c>
    </row>
    <row r="3744" spans="1:23" x14ac:dyDescent="0.35">
      <c r="E3744" s="9">
        <f>E3688</f>
        <v>0.2</v>
      </c>
      <c r="F3744" s="335">
        <f>F3688</f>
        <v>3</v>
      </c>
      <c r="G3744" s="335">
        <f>G3688</f>
        <v>3</v>
      </c>
      <c r="H3744" s="162">
        <f>H3688</f>
        <v>9</v>
      </c>
      <c r="I3744" s="9" t="str">
        <f>I3688</f>
        <v>Voltage Reg: 2.9Vout, 300mA, 3% out accuracy, 100mVin headroom, 5mΩ esr min, SOT-23-5, #LD3985M29R</v>
      </c>
      <c r="U3744">
        <v>1</v>
      </c>
      <c r="V3744" s="9">
        <f t="shared" si="475"/>
        <v>0.2</v>
      </c>
      <c r="W3744" s="15">
        <f t="shared" si="476"/>
        <v>9</v>
      </c>
    </row>
    <row r="3745" spans="2:23" x14ac:dyDescent="0.35">
      <c r="E3745" s="9">
        <f>E3690</f>
        <v>0.93</v>
      </c>
      <c r="F3745" s="335">
        <f>F3690</f>
        <v>3</v>
      </c>
      <c r="G3745" s="335">
        <f>G3690</f>
        <v>3</v>
      </c>
      <c r="H3745" s="162">
        <f>H3690</f>
        <v>9</v>
      </c>
      <c r="I3745" s="9" t="str">
        <f>I3690</f>
        <v>Voltage Ref: 2.5Vout, &gt;2.8Vin, 0.08% init acc, 8ppm/C mx, 300uA quies, 4.8uV .1 to 10Hz, 3uVrms 10Hz tto 10KHz noise, SOT-23-6, #MAX6070BAUT25+T</v>
      </c>
      <c r="U3745">
        <v>1</v>
      </c>
      <c r="V3745" s="9">
        <f t="shared" si="475"/>
        <v>0.93</v>
      </c>
      <c r="W3745" s="15">
        <f t="shared" si="476"/>
        <v>9</v>
      </c>
    </row>
    <row r="3746" spans="2:23" x14ac:dyDescent="0.35">
      <c r="E3746" s="9">
        <f>E3728</f>
        <v>0.08</v>
      </c>
      <c r="F3746" s="335">
        <f>F3728</f>
        <v>2.4</v>
      </c>
      <c r="G3746" s="335">
        <f>G3728</f>
        <v>2.4</v>
      </c>
      <c r="H3746" s="162">
        <f>H3728</f>
        <v>5.76</v>
      </c>
      <c r="I3746" s="9" t="str">
        <f>I3728</f>
        <v>Ind: 6.8uH, 570mA rating, 0.5Ω at DC, 2.4 x 2.4 x 1mm, shielded, wirewound, #NRH2410T6R8MN</v>
      </c>
      <c r="U3746">
        <v>4</v>
      </c>
      <c r="V3746" s="9">
        <f t="shared" si="475"/>
        <v>0.32</v>
      </c>
      <c r="W3746" s="15">
        <f t="shared" si="476"/>
        <v>23.04</v>
      </c>
    </row>
    <row r="3747" spans="2:23" x14ac:dyDescent="0.35">
      <c r="E3747" s="9">
        <f>E3725</f>
        <v>2.5999999999999999E-2</v>
      </c>
      <c r="F3747" s="335">
        <f>F3725</f>
        <v>2</v>
      </c>
      <c r="G3747" s="335">
        <f>G3725</f>
        <v>1.25</v>
      </c>
      <c r="H3747" s="162">
        <f>H3725</f>
        <v>2.5</v>
      </c>
      <c r="I3747" s="9" t="str">
        <f>I3725</f>
        <v>Cap: 10uF, 10V, 0805, $0.026, #CL21B106KPQNNWE</v>
      </c>
      <c r="U3747">
        <v>5</v>
      </c>
      <c r="V3747" s="9">
        <f t="shared" si="475"/>
        <v>0.13</v>
      </c>
      <c r="W3747" s="15">
        <f t="shared" si="476"/>
        <v>12.5</v>
      </c>
    </row>
    <row r="3748" spans="2:23" x14ac:dyDescent="0.35">
      <c r="E3748" s="9"/>
      <c r="F3748" s="335"/>
      <c r="G3748" s="335"/>
      <c r="H3748" s="162"/>
      <c r="I3748" s="9"/>
      <c r="W3748" s="15"/>
    </row>
    <row r="3749" spans="2:23" x14ac:dyDescent="0.35">
      <c r="B3749" s="83" t="s">
        <v>5</v>
      </c>
      <c r="C3749" s="187" t="s">
        <v>3414</v>
      </c>
      <c r="E3749" s="9">
        <f>E3694</f>
        <v>0.22</v>
      </c>
      <c r="F3749" s="335">
        <f t="shared" ref="F3749:I3749" si="477">F3694</f>
        <v>6.4</v>
      </c>
      <c r="G3749" s="335">
        <f t="shared" si="477"/>
        <v>3.1</v>
      </c>
      <c r="H3749" s="162">
        <f t="shared" si="477"/>
        <v>19.840000000000003</v>
      </c>
      <c r="I3749" s="9" t="str">
        <f t="shared" si="477"/>
        <v>Op Amp: 1x amp, 25pA @ 85C typ, 4pF, 2mVos mx over temp, 0.5uV/C typ, 10MHz GBP, 81 dB @ 2.5Vpwr typ, 800uA/amp quies, 5.5Vpwr, -0.1 to Vcc+0.1 Vin, 20mV to Vcc-20mVout, VSSOP-8, #TLV9061IDCKR</v>
      </c>
      <c r="U3749">
        <v>1</v>
      </c>
      <c r="V3749" s="9">
        <f t="shared" ref="V3749" si="478">U3749*E3749</f>
        <v>0.22</v>
      </c>
      <c r="W3749" s="15">
        <f t="shared" ref="W3749" si="479">U3749*H3749</f>
        <v>19.840000000000003</v>
      </c>
    </row>
    <row r="3750" spans="2:23" x14ac:dyDescent="0.35">
      <c r="C3750" s="187"/>
      <c r="E3750" s="9"/>
      <c r="F3750" s="335"/>
      <c r="G3750" s="335"/>
      <c r="H3750" s="162"/>
      <c r="I3750" s="9"/>
      <c r="W3750" s="15"/>
    </row>
    <row r="3751" spans="2:23" x14ac:dyDescent="0.35">
      <c r="C3751" s="187" t="s">
        <v>3415</v>
      </c>
      <c r="E3751" s="9">
        <f>E3704</f>
        <v>1.1200000000000001</v>
      </c>
      <c r="F3751" s="335">
        <f t="shared" ref="F3751:I3751" si="480">F3704</f>
        <v>3</v>
      </c>
      <c r="G3751" s="335">
        <f t="shared" si="480"/>
        <v>3</v>
      </c>
      <c r="H3751" s="162">
        <f t="shared" si="480"/>
        <v>9</v>
      </c>
      <c r="I3751" s="9" t="str">
        <f t="shared" si="480"/>
        <v>Current Sense Amp: 0 to 110V, G=200, 600KHz, 25uVos mx, 0.25uVos/C, 0.25% gain, 0.6mA quies, SC-70 (SOT23-5) #INA290A4-Q1</v>
      </c>
      <c r="U3751">
        <v>1</v>
      </c>
      <c r="V3751" s="9">
        <f t="shared" ref="V3751:V3752" si="481">U3751*E3751</f>
        <v>1.1200000000000001</v>
      </c>
      <c r="W3751" s="15">
        <f t="shared" ref="W3751:W3752" si="482">U3751*H3751</f>
        <v>9</v>
      </c>
    </row>
    <row r="3752" spans="2:23" x14ac:dyDescent="0.35">
      <c r="C3752" s="187"/>
      <c r="E3752" s="9">
        <f>E3720</f>
        <v>0.12</v>
      </c>
      <c r="F3752" s="335">
        <f t="shared" ref="F3752:I3752" si="483">F3720</f>
        <v>6.3</v>
      </c>
      <c r="G3752" s="335">
        <f t="shared" si="483"/>
        <v>3.1</v>
      </c>
      <c r="H3752" s="162">
        <f t="shared" si="483"/>
        <v>19.53</v>
      </c>
      <c r="I3752" s="9" t="str">
        <f t="shared" si="483"/>
        <v>Shunt Resistor: 1mΩ, 2512, 1%, 50ppm/C, 3W, #CSRL3-0R001F8</v>
      </c>
      <c r="U3752">
        <v>1</v>
      </c>
      <c r="V3752" s="9">
        <f t="shared" si="481"/>
        <v>0.12</v>
      </c>
      <c r="W3752" s="15">
        <f t="shared" si="482"/>
        <v>19.53</v>
      </c>
    </row>
    <row r="3753" spans="2:23" x14ac:dyDescent="0.35">
      <c r="C3753" s="187"/>
      <c r="E3753" s="9"/>
      <c r="F3753" s="335"/>
      <c r="G3753" s="335"/>
      <c r="H3753" s="162"/>
      <c r="I3753" s="9"/>
      <c r="W3753" s="15"/>
    </row>
    <row r="3754" spans="2:23" x14ac:dyDescent="0.35">
      <c r="C3754" s="187" t="s">
        <v>3416</v>
      </c>
      <c r="E3754" s="9">
        <f>E3693</f>
        <v>0.2</v>
      </c>
      <c r="F3754" s="335">
        <f t="shared" ref="F3754:I3754" si="484">F3693</f>
        <v>6.4</v>
      </c>
      <c r="G3754" s="335">
        <f t="shared" si="484"/>
        <v>3.1</v>
      </c>
      <c r="H3754" s="162">
        <f t="shared" si="484"/>
        <v>19.840000000000003</v>
      </c>
      <c r="I3754" s="9" t="str">
        <f t="shared" si="484"/>
        <v>Op Amp: 2x amp, 25pA @ 85C typ, 4pF, 2mVos mx over temp, 0.5uV/C typ, 10MHz GBP, 81 dB @ 2.5Vpwr typ, 800uA/amp quies, 5.5Vpwr, -0.1 to Vcc+0.1 Vin, 20mV to Vcc-20mVout, VSSOP-8, #TLV9062IDGKR</v>
      </c>
      <c r="U3754">
        <v>1</v>
      </c>
      <c r="V3754" s="9">
        <f t="shared" ref="V3754:V3756" si="485">U3754*E3754</f>
        <v>0.2</v>
      </c>
      <c r="W3754" s="15">
        <f t="shared" ref="W3754:W3756" si="486">U3754*H3754</f>
        <v>19.840000000000003</v>
      </c>
    </row>
    <row r="3755" spans="2:23" x14ac:dyDescent="0.35">
      <c r="C3755" s="187"/>
      <c r="E3755" s="9">
        <f>E3720</f>
        <v>0.12</v>
      </c>
      <c r="F3755" s="335">
        <f t="shared" ref="F3755:I3755" si="487">F3720</f>
        <v>6.3</v>
      </c>
      <c r="G3755" s="335">
        <f t="shared" si="487"/>
        <v>3.1</v>
      </c>
      <c r="H3755" s="162">
        <f t="shared" si="487"/>
        <v>19.53</v>
      </c>
      <c r="I3755" s="9" t="str">
        <f t="shared" si="487"/>
        <v>Shunt Resistor: 1mΩ, 2512, 1%, 50ppm/C, 3W, #CSRL3-0R001F8</v>
      </c>
      <c r="U3755">
        <v>1</v>
      </c>
      <c r="V3755" s="9">
        <f t="shared" si="485"/>
        <v>0.12</v>
      </c>
      <c r="W3755" s="15">
        <f t="shared" si="486"/>
        <v>19.53</v>
      </c>
    </row>
    <row r="3756" spans="2:23" x14ac:dyDescent="0.35">
      <c r="C3756" s="187"/>
      <c r="E3756" s="9">
        <f>E3711</f>
        <v>3.6999999999999998E-2</v>
      </c>
      <c r="F3756" s="335">
        <f t="shared" ref="F3756:I3756" si="488">F3711</f>
        <v>1.5</v>
      </c>
      <c r="G3756" s="335">
        <f t="shared" si="488"/>
        <v>0.85</v>
      </c>
      <c r="H3756" s="162">
        <f t="shared" si="488"/>
        <v>1.2749999999999999</v>
      </c>
      <c r="I3756" s="9" t="str">
        <f t="shared" si="488"/>
        <v>Res: thin film, 0.1% acc, 25ppm/C, 0603, 75V, 0.063W, #ERA-3AEB **</v>
      </c>
      <c r="U3756">
        <v>4</v>
      </c>
      <c r="V3756" s="9">
        <f t="shared" si="485"/>
        <v>0.14799999999999999</v>
      </c>
      <c r="W3756" s="15">
        <f t="shared" si="486"/>
        <v>5.0999999999999996</v>
      </c>
    </row>
    <row r="3757" spans="2:23" x14ac:dyDescent="0.35">
      <c r="C3757" s="187"/>
      <c r="E3757" s="9"/>
      <c r="F3757" s="335"/>
      <c r="G3757" s="335"/>
      <c r="H3757" s="162"/>
      <c r="I3757" s="9"/>
      <c r="W3757" s="15"/>
    </row>
    <row r="3758" spans="2:23" x14ac:dyDescent="0.35">
      <c r="C3758" s="187" t="s">
        <v>3417</v>
      </c>
      <c r="E3758" s="9">
        <f>E3749</f>
        <v>0.22</v>
      </c>
      <c r="F3758" s="335">
        <f t="shared" ref="F3758:I3758" si="489">F3694</f>
        <v>6.4</v>
      </c>
      <c r="G3758" s="335">
        <f t="shared" si="489"/>
        <v>3.1</v>
      </c>
      <c r="H3758" s="162">
        <f t="shared" si="489"/>
        <v>19.840000000000003</v>
      </c>
      <c r="I3758" s="9" t="str">
        <f t="shared" si="489"/>
        <v>Op Amp: 1x amp, 25pA @ 85C typ, 4pF, 2mVos mx over temp, 0.5uV/C typ, 10MHz GBP, 81 dB @ 2.5Vpwr typ, 800uA/amp quies, 5.5Vpwr, -0.1 to Vcc+0.1 Vin, 20mV to Vcc-20mVout, VSSOP-8, #TLV9061IDCKR</v>
      </c>
      <c r="U3758">
        <v>1</v>
      </c>
      <c r="V3758" s="9">
        <f t="shared" ref="V3758:V3760" si="490">U3758*E3758</f>
        <v>0.22</v>
      </c>
      <c r="W3758" s="15">
        <f t="shared" ref="W3758:W3760" si="491">U3758*H3758</f>
        <v>19.840000000000003</v>
      </c>
    </row>
    <row r="3759" spans="2:23" x14ac:dyDescent="0.35">
      <c r="C3759" s="187"/>
      <c r="E3759" s="9">
        <f>E3711</f>
        <v>3.6999999999999998E-2</v>
      </c>
      <c r="F3759" s="335">
        <f t="shared" ref="F3759:I3759" si="492">F3711</f>
        <v>1.5</v>
      </c>
      <c r="G3759" s="335">
        <f t="shared" si="492"/>
        <v>0.85</v>
      </c>
      <c r="H3759" s="162">
        <f t="shared" si="492"/>
        <v>1.2749999999999999</v>
      </c>
      <c r="I3759" s="9" t="str">
        <f t="shared" si="492"/>
        <v>Res: thin film, 0.1% acc, 25ppm/C, 0603, 75V, 0.063W, #ERA-3AEB **</v>
      </c>
      <c r="U3759">
        <v>1</v>
      </c>
      <c r="V3759" s="9">
        <f t="shared" si="490"/>
        <v>3.6999999999999998E-2</v>
      </c>
      <c r="W3759" s="15">
        <f t="shared" si="491"/>
        <v>1.2749999999999999</v>
      </c>
    </row>
    <row r="3760" spans="2:23" x14ac:dyDescent="0.35">
      <c r="C3760" s="187"/>
      <c r="E3760" s="9">
        <f>E3714</f>
        <v>7.0000000000000007E-2</v>
      </c>
      <c r="F3760" s="335">
        <f t="shared" ref="F3760:I3760" si="493">F3714</f>
        <v>3.2</v>
      </c>
      <c r="G3760" s="335">
        <f t="shared" si="493"/>
        <v>1.6</v>
      </c>
      <c r="H3760" s="162">
        <f t="shared" si="493"/>
        <v>5.120000000000001</v>
      </c>
      <c r="I3760" s="9" t="str">
        <f t="shared" si="493"/>
        <v>Res: thin film, 0.1% acc, 25ppm/C, 1206, 200V, 0.25W, #RNCF1206BTE **</v>
      </c>
      <c r="U3760">
        <v>1</v>
      </c>
      <c r="V3760" s="9">
        <f t="shared" si="490"/>
        <v>7.0000000000000007E-2</v>
      </c>
      <c r="W3760" s="15">
        <f t="shared" si="491"/>
        <v>5.120000000000001</v>
      </c>
    </row>
    <row r="3761" spans="2:23" x14ac:dyDescent="0.35">
      <c r="C3761" s="187"/>
      <c r="E3761" s="9"/>
      <c r="F3761" s="335"/>
      <c r="G3761" s="335"/>
      <c r="H3761" s="162"/>
      <c r="I3761" s="9"/>
      <c r="W3761" s="15"/>
    </row>
    <row r="3762" spans="2:23" x14ac:dyDescent="0.35">
      <c r="C3762" s="187" t="s">
        <v>3418</v>
      </c>
      <c r="E3762" s="9">
        <f>E3749</f>
        <v>0.22</v>
      </c>
      <c r="F3762" s="335">
        <f t="shared" ref="F3762:H3762" si="494">F3749</f>
        <v>6.4</v>
      </c>
      <c r="G3762" s="335">
        <f t="shared" si="494"/>
        <v>3.1</v>
      </c>
      <c r="H3762" s="162">
        <f t="shared" si="494"/>
        <v>19.840000000000003</v>
      </c>
      <c r="I3762" s="9" t="str">
        <f>I3749</f>
        <v>Op Amp: 1x amp, 25pA @ 85C typ, 4pF, 2mVos mx over temp, 0.5uV/C typ, 10MHz GBP, 81 dB @ 2.5Vpwr typ, 800uA/amp quies, 5.5Vpwr, -0.1 to Vcc+0.1 Vin, 20mV to Vcc-20mVout, VSSOP-8, #TLV9061IDCKR</v>
      </c>
      <c r="U3762">
        <v>1</v>
      </c>
      <c r="V3762" s="9">
        <f t="shared" ref="V3762:V3764" si="495">U3762*E3762</f>
        <v>0.22</v>
      </c>
      <c r="W3762" s="15">
        <f t="shared" ref="W3762:W3764" si="496">U3762*H3762</f>
        <v>19.840000000000003</v>
      </c>
    </row>
    <row r="3763" spans="2:23" x14ac:dyDescent="0.35">
      <c r="C3763" s="187"/>
      <c r="E3763" s="9">
        <f>E3711</f>
        <v>3.6999999999999998E-2</v>
      </c>
      <c r="F3763" s="335">
        <f t="shared" ref="F3763:H3763" si="497">F3711</f>
        <v>1.5</v>
      </c>
      <c r="G3763" s="335">
        <f t="shared" si="497"/>
        <v>0.85</v>
      </c>
      <c r="H3763" s="162">
        <f t="shared" si="497"/>
        <v>1.2749999999999999</v>
      </c>
      <c r="I3763" s="9" t="str">
        <f>I3711</f>
        <v>Res: thin film, 0.1% acc, 25ppm/C, 0603, 75V, 0.063W, #ERA-3AEB **</v>
      </c>
      <c r="U3763">
        <v>1</v>
      </c>
      <c r="V3763" s="9">
        <f t="shared" si="495"/>
        <v>3.6999999999999998E-2</v>
      </c>
      <c r="W3763" s="15">
        <f t="shared" si="496"/>
        <v>1.2749999999999999</v>
      </c>
    </row>
    <row r="3764" spans="2:23" x14ac:dyDescent="0.35">
      <c r="E3764" s="9">
        <f>E3715</f>
        <v>3.1E-2</v>
      </c>
      <c r="F3764" s="335">
        <f t="shared" ref="F3764:H3764" si="498">F3715</f>
        <v>3.2</v>
      </c>
      <c r="G3764" s="335">
        <f t="shared" si="498"/>
        <v>1.6</v>
      </c>
      <c r="H3764" s="162">
        <f t="shared" si="498"/>
        <v>5.120000000000001</v>
      </c>
      <c r="I3764" s="9" t="str">
        <f>I3715</f>
        <v>Res: thin film, 0.5% acc, 25ppm/C, 1206, 200V, 0.25W, #RT1206DRD07 **</v>
      </c>
      <c r="U3764">
        <v>4</v>
      </c>
      <c r="V3764" s="9">
        <f t="shared" si="495"/>
        <v>0.124</v>
      </c>
      <c r="W3764" s="15">
        <f t="shared" si="496"/>
        <v>20.480000000000004</v>
      </c>
    </row>
    <row r="3765" spans="2:23" x14ac:dyDescent="0.35">
      <c r="E3765" s="9"/>
      <c r="F3765" s="335"/>
      <c r="G3765" s="335"/>
      <c r="H3765" s="162"/>
      <c r="I3765" s="9"/>
      <c r="W3765" s="15"/>
    </row>
    <row r="3766" spans="2:23" x14ac:dyDescent="0.35">
      <c r="B3766" s="83" t="s">
        <v>3419</v>
      </c>
      <c r="C3766" s="187"/>
      <c r="E3766" s="9">
        <f>E3696</f>
        <v>0.35</v>
      </c>
      <c r="F3766" s="335">
        <f t="shared" ref="F3766:I3766" si="499">F3696</f>
        <v>6.4</v>
      </c>
      <c r="G3766" s="335">
        <f t="shared" si="499"/>
        <v>5.4</v>
      </c>
      <c r="H3766" s="162">
        <f t="shared" si="499"/>
        <v>34.56</v>
      </c>
      <c r="I3766" s="9" t="str">
        <f t="shared" si="499"/>
        <v>Mux: 8:1, 5nA max @ 85C, 108Ω, 5.5Vpwr, 16-TSSOP, #NLAST4051DTR2G</v>
      </c>
      <c r="U3766">
        <v>1</v>
      </c>
      <c r="V3766" s="9">
        <f t="shared" ref="V3766:V3771" si="500">U3766*E3766</f>
        <v>0.35</v>
      </c>
      <c r="W3766" s="15">
        <f t="shared" ref="W3766:W3771" si="501">U3766*H3766</f>
        <v>34.56</v>
      </c>
    </row>
    <row r="3767" spans="2:23" x14ac:dyDescent="0.35">
      <c r="E3767" s="9">
        <f t="shared" ref="E3767:I3767" si="502">E3697</f>
        <v>0.11</v>
      </c>
      <c r="F3767" s="335">
        <f t="shared" si="502"/>
        <v>6.4</v>
      </c>
      <c r="G3767" s="335">
        <f t="shared" si="502"/>
        <v>5.4</v>
      </c>
      <c r="H3767" s="162">
        <f t="shared" si="502"/>
        <v>34.56</v>
      </c>
      <c r="I3767" s="9" t="str">
        <f t="shared" si="502"/>
        <v>Mux: 8:1, 400nA max @ 85C, 140Ω, 10Vpwr, 16-TSSOP, #74HC4051PW,118</v>
      </c>
      <c r="U3767">
        <v>1</v>
      </c>
      <c r="V3767" s="9">
        <f t="shared" si="500"/>
        <v>0.11</v>
      </c>
      <c r="W3767" s="15">
        <f t="shared" si="501"/>
        <v>34.56</v>
      </c>
    </row>
    <row r="3768" spans="2:23" x14ac:dyDescent="0.35">
      <c r="E3768" s="9">
        <f>E3698</f>
        <v>0.12</v>
      </c>
      <c r="F3768" s="335">
        <f t="shared" ref="F3768:I3768" si="503">F3698</f>
        <v>2.4</v>
      </c>
      <c r="G3768" s="335">
        <f t="shared" si="503"/>
        <v>2.2000000000000002</v>
      </c>
      <c r="H3768" s="162">
        <f t="shared" si="503"/>
        <v>5.28</v>
      </c>
      <c r="I3768" s="9" t="str">
        <f t="shared" si="503"/>
        <v>Switch: SPST, 10nA max @ 85C, 50Ω, 5.5Vpwr,  SOT-70-5, #NLAST4501DFT2G</v>
      </c>
      <c r="U3768">
        <v>1</v>
      </c>
      <c r="V3768" s="9">
        <f t="shared" si="500"/>
        <v>0.12</v>
      </c>
      <c r="W3768" s="15">
        <f t="shared" si="501"/>
        <v>5.28</v>
      </c>
    </row>
    <row r="3769" spans="2:23" x14ac:dyDescent="0.35">
      <c r="E3769" s="9">
        <f>E3749</f>
        <v>0.22</v>
      </c>
      <c r="F3769" s="335">
        <f t="shared" ref="F3769:I3769" si="504">F3749</f>
        <v>6.4</v>
      </c>
      <c r="G3769" s="335">
        <f t="shared" si="504"/>
        <v>3.1</v>
      </c>
      <c r="H3769" s="162">
        <f t="shared" si="504"/>
        <v>19.840000000000003</v>
      </c>
      <c r="I3769" s="9" t="str">
        <f t="shared" si="504"/>
        <v>Op Amp: 1x amp, 25pA @ 85C typ, 4pF, 2mVos mx over temp, 0.5uV/C typ, 10MHz GBP, 81 dB @ 2.5Vpwr typ, 800uA/amp quies, 5.5Vpwr, -0.1 to Vcc+0.1 Vin, 20mV to Vcc-20mVout, VSSOP-8, #TLV9061IDCKR</v>
      </c>
      <c r="U3769">
        <v>1</v>
      </c>
      <c r="V3769" s="9">
        <f t="shared" si="500"/>
        <v>0.22</v>
      </c>
      <c r="W3769" s="15">
        <f t="shared" si="501"/>
        <v>19.840000000000003</v>
      </c>
    </row>
    <row r="3770" spans="2:23" x14ac:dyDescent="0.35">
      <c r="E3770" s="9">
        <f>E3712</f>
        <v>0.14399999999999999</v>
      </c>
      <c r="F3770" s="335">
        <f t="shared" ref="F3770:I3770" si="505">F3712</f>
        <v>1.5</v>
      </c>
      <c r="G3770" s="335">
        <f t="shared" si="505"/>
        <v>0.85</v>
      </c>
      <c r="H3770" s="162">
        <f t="shared" si="505"/>
        <v>1.2749999999999999</v>
      </c>
      <c r="I3770" s="9" t="str">
        <f t="shared" si="505"/>
        <v>Res: thin film, 0.1% acc, 10ppm/C, 0603, 75V, 0.063W, #RT0603BRB07 **</v>
      </c>
      <c r="U3770">
        <v>1</v>
      </c>
      <c r="V3770" s="9">
        <f t="shared" si="500"/>
        <v>0.14399999999999999</v>
      </c>
      <c r="W3770" s="15">
        <f t="shared" si="501"/>
        <v>1.2749999999999999</v>
      </c>
    </row>
    <row r="3771" spans="2:23" x14ac:dyDescent="0.35">
      <c r="E3771" s="9">
        <f>E3749</f>
        <v>0.22</v>
      </c>
      <c r="F3771" s="335">
        <f t="shared" ref="F3771:I3771" si="506">F3749</f>
        <v>6.4</v>
      </c>
      <c r="G3771" s="335">
        <f t="shared" si="506"/>
        <v>3.1</v>
      </c>
      <c r="H3771" s="162">
        <f t="shared" si="506"/>
        <v>19.840000000000003</v>
      </c>
      <c r="I3771" s="9" t="str">
        <f t="shared" si="506"/>
        <v>Op Amp: 1x amp, 25pA @ 85C typ, 4pF, 2mVos mx over temp, 0.5uV/C typ, 10MHz GBP, 81 dB @ 2.5Vpwr typ, 800uA/amp quies, 5.5Vpwr, -0.1 to Vcc+0.1 Vin, 20mV to Vcc-20mVout, VSSOP-8, #TLV9061IDCKR</v>
      </c>
      <c r="U3771">
        <v>1</v>
      </c>
      <c r="V3771" s="9">
        <f t="shared" si="500"/>
        <v>0.22</v>
      </c>
      <c r="W3771" s="15">
        <f t="shared" si="501"/>
        <v>19.840000000000003</v>
      </c>
    </row>
    <row r="3772" spans="2:23" x14ac:dyDescent="0.35">
      <c r="B3772" s="83" t="s">
        <v>3420</v>
      </c>
      <c r="E3772" s="9"/>
      <c r="F3772" s="335"/>
      <c r="G3772" s="335"/>
      <c r="H3772" s="162"/>
      <c r="I3772" s="9"/>
      <c r="U3772" t="s">
        <v>0</v>
      </c>
      <c r="W3772" s="15"/>
    </row>
    <row r="3773" spans="2:23" x14ac:dyDescent="0.35">
      <c r="C3773" s="187" t="s">
        <v>1165</v>
      </c>
      <c r="E3773" s="9">
        <f>E3722</f>
        <v>0.05</v>
      </c>
      <c r="F3773" s="335">
        <f t="shared" ref="F3773:I3773" si="507">F3722</f>
        <v>1.5</v>
      </c>
      <c r="G3773" s="335">
        <f t="shared" si="507"/>
        <v>0.85</v>
      </c>
      <c r="H3773" s="162">
        <f t="shared" si="507"/>
        <v>1.2749999999999999</v>
      </c>
      <c r="I3773" s="9" t="str">
        <f t="shared" si="507"/>
        <v>Thermistor: 10K ohms @ 25C, 1% resistance accuracy, 0603, #NCU18XH103F60RB</v>
      </c>
      <c r="U3773">
        <v>2</v>
      </c>
      <c r="V3773" s="9">
        <f t="shared" ref="V3773:V3776" si="508">U3773*E3773</f>
        <v>0.1</v>
      </c>
      <c r="W3773" s="15">
        <f t="shared" ref="W3773:W3776" si="509">U3773*H3773</f>
        <v>2.5499999999999998</v>
      </c>
    </row>
    <row r="3774" spans="2:23" x14ac:dyDescent="0.35">
      <c r="C3774" s="187" t="s">
        <v>3423</v>
      </c>
      <c r="E3774" s="9">
        <f>E3717</f>
        <v>0.68</v>
      </c>
      <c r="F3774" s="335">
        <f t="shared" ref="F3774:I3774" si="510">F3717</f>
        <v>3.2</v>
      </c>
      <c r="G3774" s="335">
        <f t="shared" si="510"/>
        <v>1.5</v>
      </c>
      <c r="H3774" s="162">
        <f t="shared" si="510"/>
        <v>4.8000000000000007</v>
      </c>
      <c r="I3774" s="9" t="str">
        <f t="shared" si="510"/>
        <v>Res Network: thin film, 1K/10K/1K/10KΩ, 0.05% ratio acc, 7.5ppm/C ratio drift, 0.1% R acc, #ACASA1001E1002P1AT</v>
      </c>
      <c r="U3774">
        <v>1</v>
      </c>
      <c r="V3774" s="9">
        <f t="shared" si="508"/>
        <v>0.68</v>
      </c>
      <c r="W3774" s="15">
        <f t="shared" si="509"/>
        <v>4.8000000000000007</v>
      </c>
    </row>
    <row r="3775" spans="2:23" x14ac:dyDescent="0.35">
      <c r="C3775" s="187" t="s">
        <v>3424</v>
      </c>
      <c r="E3775" s="9">
        <f>E3712</f>
        <v>0.14399999999999999</v>
      </c>
      <c r="F3775" s="335">
        <f t="shared" ref="F3775:I3775" si="511">F3712</f>
        <v>1.5</v>
      </c>
      <c r="G3775" s="335">
        <f t="shared" si="511"/>
        <v>0.85</v>
      </c>
      <c r="H3775" s="162">
        <f t="shared" si="511"/>
        <v>1.2749999999999999</v>
      </c>
      <c r="I3775" s="9" t="str">
        <f t="shared" si="511"/>
        <v>Res: thin film, 0.1% acc, 10ppm/C, 0603, 75V, 0.063W, #RT0603BRB07 **</v>
      </c>
      <c r="U3775">
        <v>1</v>
      </c>
      <c r="V3775" s="9">
        <f t="shared" si="508"/>
        <v>0.14399999999999999</v>
      </c>
      <c r="W3775" s="15">
        <f t="shared" si="509"/>
        <v>1.2749999999999999</v>
      </c>
    </row>
    <row r="3776" spans="2:23" x14ac:dyDescent="0.35">
      <c r="C3776" s="187" t="s">
        <v>3425</v>
      </c>
      <c r="E3776" s="9">
        <f>E3714</f>
        <v>7.0000000000000007E-2</v>
      </c>
      <c r="F3776" s="335">
        <f t="shared" ref="F3776:I3776" si="512">F3714</f>
        <v>3.2</v>
      </c>
      <c r="G3776" s="335">
        <f t="shared" si="512"/>
        <v>1.6</v>
      </c>
      <c r="H3776" s="162">
        <f t="shared" si="512"/>
        <v>5.120000000000001</v>
      </c>
      <c r="I3776" s="9" t="str">
        <f t="shared" si="512"/>
        <v>Res: thin film, 0.1% acc, 25ppm/C, 1206, 200V, 0.25W, #RNCF1206BTE **</v>
      </c>
      <c r="U3776">
        <v>2</v>
      </c>
      <c r="V3776" s="9">
        <f t="shared" si="508"/>
        <v>0.14000000000000001</v>
      </c>
      <c r="W3776" s="15">
        <f t="shared" si="509"/>
        <v>10.240000000000002</v>
      </c>
    </row>
    <row r="3777" spans="1:23" x14ac:dyDescent="0.35">
      <c r="C3777" s="187"/>
      <c r="E3777" s="9"/>
      <c r="F3777" s="335"/>
      <c r="G3777" s="335"/>
      <c r="H3777" s="162"/>
      <c r="I3777" s="9"/>
      <c r="V3777" s="9"/>
    </row>
    <row r="3778" spans="1:23" s="5" customFormat="1" x14ac:dyDescent="0.35">
      <c r="A3778" s="86" t="s">
        <v>7857</v>
      </c>
    </row>
    <row r="3779" spans="1:23" x14ac:dyDescent="0.35">
      <c r="C3779" s="187"/>
      <c r="E3779" s="9"/>
      <c r="F3779" s="335"/>
      <c r="G3779" s="335"/>
      <c r="H3779" s="162"/>
      <c r="I3779" s="9"/>
      <c r="V3779" s="9"/>
    </row>
    <row r="3780" spans="1:23" x14ac:dyDescent="0.35">
      <c r="B3780" s="83" t="s">
        <v>3438</v>
      </c>
      <c r="G3780" s="123" t="s">
        <v>3433</v>
      </c>
      <c r="H3780" s="123" t="s">
        <v>3434</v>
      </c>
      <c r="I3780" s="162"/>
      <c r="J3780" s="83" t="s">
        <v>3444</v>
      </c>
      <c r="L3780" s="377" t="s">
        <v>3428</v>
      </c>
      <c r="N3780" s="187"/>
      <c r="P3780" s="376">
        <f>W3733</f>
        <v>1654.8699999999992</v>
      </c>
      <c r="S3780" s="83" t="s">
        <v>3435</v>
      </c>
      <c r="U3780">
        <v>300</v>
      </c>
      <c r="V3780" t="s">
        <v>4</v>
      </c>
      <c r="W3780" s="9"/>
    </row>
    <row r="3781" spans="1:23" x14ac:dyDescent="0.35">
      <c r="B3781" s="377"/>
      <c r="D3781" s="377" t="s">
        <v>3440</v>
      </c>
      <c r="E3781" s="187"/>
      <c r="G3781" s="8">
        <f>V3733</f>
        <v>21.133999999999993</v>
      </c>
      <c r="H3781" s="8">
        <f>G3781/$U$3780</f>
        <v>7.0446666666666644E-2</v>
      </c>
      <c r="I3781" s="162"/>
      <c r="M3781" t="s">
        <v>3426</v>
      </c>
      <c r="N3781" s="187"/>
      <c r="P3781" s="376">
        <f>P3780/100</f>
        <v>16.548699999999993</v>
      </c>
      <c r="W3781" s="9"/>
    </row>
    <row r="3782" spans="1:23" x14ac:dyDescent="0.35">
      <c r="B3782" s="377"/>
      <c r="D3782" s="377" t="s">
        <v>3442</v>
      </c>
      <c r="E3782" s="377"/>
      <c r="G3782" s="382">
        <v>0.1</v>
      </c>
      <c r="H3782" s="8"/>
      <c r="I3782" s="162"/>
      <c r="L3782" s="377" t="s">
        <v>3427</v>
      </c>
      <c r="M3782" s="378"/>
      <c r="P3782" s="17">
        <v>4</v>
      </c>
      <c r="W3782" s="9"/>
    </row>
    <row r="3783" spans="1:23" x14ac:dyDescent="0.35">
      <c r="B3783" s="377"/>
      <c r="D3783" s="377" t="s">
        <v>3443</v>
      </c>
      <c r="E3783" s="377"/>
      <c r="G3783" s="8">
        <f>G3781*(1-G3782)</f>
        <v>19.020599999999995</v>
      </c>
      <c r="H3783" s="380">
        <f>G3783/$U$3780</f>
        <v>6.3401999999999986E-2</v>
      </c>
      <c r="I3783" s="162"/>
      <c r="L3783" s="377" t="s">
        <v>3430</v>
      </c>
      <c r="M3783" s="378"/>
      <c r="P3783" s="376">
        <f>P3781*P3782</f>
        <v>66.194799999999972</v>
      </c>
      <c r="W3783" s="9"/>
    </row>
    <row r="3784" spans="1:23" x14ac:dyDescent="0.35">
      <c r="D3784" s="4" t="s">
        <v>3432</v>
      </c>
      <c r="E3784" s="4"/>
      <c r="F3784" s="4"/>
      <c r="G3784" s="379">
        <v>4</v>
      </c>
      <c r="H3784" s="379">
        <f>G3784/$U$3780</f>
        <v>1.3333333333333334E-2</v>
      </c>
      <c r="I3784" s="162"/>
      <c r="L3784" s="377"/>
      <c r="M3784" t="s">
        <v>3431</v>
      </c>
      <c r="P3784" s="376">
        <f>P3783/(2.54^2)</f>
        <v>10.260214520429036</v>
      </c>
      <c r="W3784" s="9"/>
    </row>
    <row r="3785" spans="1:23" x14ac:dyDescent="0.35">
      <c r="E3785" t="s">
        <v>3436</v>
      </c>
      <c r="G3785" s="8">
        <f>SUM(G3783:G3784)</f>
        <v>23.020599999999995</v>
      </c>
      <c r="H3785" s="8">
        <f>SUM(H3781:H3784)</f>
        <v>0.14718199999999995</v>
      </c>
      <c r="I3785" s="162"/>
      <c r="L3785" s="377" t="s">
        <v>3429</v>
      </c>
      <c r="M3785" s="378"/>
      <c r="P3785" s="376">
        <f>SQRT(P3783)</f>
        <v>8.1360186823777614</v>
      </c>
      <c r="W3785" s="9"/>
    </row>
    <row r="3786" spans="1:23" x14ac:dyDescent="0.35">
      <c r="G3786" s="8"/>
      <c r="H3786" s="8"/>
      <c r="I3786" s="162"/>
      <c r="M3786" t="s">
        <v>57</v>
      </c>
      <c r="P3786" s="13">
        <f>P3785/2.56</f>
        <v>3.1781322978038129</v>
      </c>
      <c r="W3786" s="9"/>
    </row>
    <row r="3787" spans="1:23" x14ac:dyDescent="0.35">
      <c r="D3787" s="4" t="s">
        <v>3441</v>
      </c>
      <c r="E3787" s="4"/>
      <c r="F3787" s="4"/>
      <c r="G3787" s="379">
        <v>10</v>
      </c>
      <c r="H3787" s="379">
        <f>G3787/$U$3780</f>
        <v>3.3333333333333333E-2</v>
      </c>
      <c r="I3787" s="162"/>
      <c r="W3787" s="9"/>
    </row>
    <row r="3788" spans="1:23" x14ac:dyDescent="0.35">
      <c r="E3788" s="19" t="s">
        <v>3437</v>
      </c>
      <c r="G3788" s="8">
        <f>SUM(G3785:G3787)</f>
        <v>33.020599999999995</v>
      </c>
      <c r="H3788" s="381">
        <f>G3788/$U$3780</f>
        <v>0.11006866666666665</v>
      </c>
      <c r="I3788" s="162"/>
      <c r="J3788" s="9"/>
      <c r="W3788" s="9"/>
    </row>
    <row r="3790" spans="1:23" x14ac:dyDescent="0.35">
      <c r="F3790" s="15"/>
      <c r="G3790" s="1"/>
      <c r="H3790" s="162"/>
      <c r="I3790" s="1"/>
      <c r="J3790" s="162"/>
    </row>
    <row r="3791" spans="1:23" x14ac:dyDescent="0.35">
      <c r="E3791" s="12"/>
      <c r="F3791" s="10"/>
      <c r="G3791" s="10"/>
      <c r="H3791" s="12"/>
      <c r="J3791" s="10"/>
      <c r="K3791" s="13"/>
    </row>
    <row r="3792" spans="1:23" s="5" customFormat="1" x14ac:dyDescent="0.35">
      <c r="A3792" s="86" t="s">
        <v>6166</v>
      </c>
    </row>
    <row r="3794" spans="2:37" x14ac:dyDescent="0.35">
      <c r="B3794" s="83" t="s">
        <v>5889</v>
      </c>
      <c r="D3794" s="15"/>
      <c r="F3794" s="448"/>
      <c r="G3794" s="599" t="s">
        <v>5890</v>
      </c>
      <c r="I3794" s="554"/>
      <c r="K3794" s="409"/>
      <c r="N3794" s="220"/>
      <c r="Q3794" s="13"/>
      <c r="R3794" s="162"/>
      <c r="S3794" s="414"/>
      <c r="T3794" s="155"/>
      <c r="U3794" s="155"/>
    </row>
    <row r="3795" spans="2:37" x14ac:dyDescent="0.35">
      <c r="D3795" s="220"/>
      <c r="E3795" s="220"/>
      <c r="F3795" s="448"/>
      <c r="I3795" s="554"/>
      <c r="K3795" s="409"/>
      <c r="N3795" s="220"/>
      <c r="Q3795" s="13"/>
      <c r="R3795" s="162"/>
      <c r="S3795" s="414"/>
      <c r="T3795" s="155"/>
      <c r="U3795" s="155"/>
    </row>
    <row r="3796" spans="2:37" s="577" customFormat="1" x14ac:dyDescent="0.35">
      <c r="B3796" s="593"/>
      <c r="E3796" s="578"/>
      <c r="H3796" s="604" t="s">
        <v>5887</v>
      </c>
      <c r="I3796" s="605"/>
      <c r="K3796" s="606" t="s">
        <v>5886</v>
      </c>
      <c r="L3796" s="607"/>
      <c r="M3796" s="596"/>
      <c r="O3796" s="599"/>
      <c r="P3796" s="599"/>
      <c r="S3796" s="580"/>
      <c r="T3796" s="595"/>
    </row>
    <row r="3797" spans="2:37" s="577" customFormat="1" ht="36.5" x14ac:dyDescent="0.35">
      <c r="B3797" s="593"/>
      <c r="D3797" s="601" t="s">
        <v>4797</v>
      </c>
      <c r="E3797" s="608"/>
      <c r="H3797" s="601" t="s">
        <v>5884</v>
      </c>
      <c r="I3797" s="601" t="s">
        <v>5885</v>
      </c>
      <c r="K3797" s="601" t="s">
        <v>5884</v>
      </c>
      <c r="L3797" s="601" t="s">
        <v>5885</v>
      </c>
      <c r="N3797" s="603" t="s">
        <v>5799</v>
      </c>
      <c r="O3797" s="603" t="s">
        <v>5931</v>
      </c>
      <c r="P3797" s="603" t="s">
        <v>5944</v>
      </c>
      <c r="Q3797" s="603" t="s">
        <v>5945</v>
      </c>
      <c r="S3797" s="603" t="s">
        <v>5934</v>
      </c>
      <c r="T3797" s="603" t="s">
        <v>5935</v>
      </c>
      <c r="V3797" s="603" t="s">
        <v>5942</v>
      </c>
      <c r="X3797" s="603" t="s">
        <v>5937</v>
      </c>
      <c r="Y3797" s="603" t="s">
        <v>5936</v>
      </c>
      <c r="Z3797" s="603" t="s">
        <v>5938</v>
      </c>
      <c r="AB3797" s="603" t="s">
        <v>5769</v>
      </c>
      <c r="AD3797" s="603" t="s">
        <v>5777</v>
      </c>
      <c r="AE3797" s="609"/>
      <c r="AF3797" s="610"/>
      <c r="AI3797" s="580"/>
    </row>
    <row r="3798" spans="2:37" s="577" customFormat="1" x14ac:dyDescent="0.35">
      <c r="B3798" s="593"/>
      <c r="D3798" s="577" t="s">
        <v>5892</v>
      </c>
      <c r="E3798" s="578"/>
      <c r="H3798" s="594">
        <v>15</v>
      </c>
      <c r="I3798" s="595">
        <v>46</v>
      </c>
      <c r="K3798" s="596">
        <v>12</v>
      </c>
      <c r="L3798" s="577">
        <v>43</v>
      </c>
      <c r="P3798" s="596"/>
      <c r="X3798" s="578"/>
      <c r="Y3798" s="578"/>
      <c r="Z3798" s="578"/>
      <c r="AB3798" s="577">
        <v>42</v>
      </c>
      <c r="AD3798" s="578" t="s">
        <v>5891</v>
      </c>
      <c r="AE3798" s="578"/>
      <c r="AF3798" s="597"/>
      <c r="AG3798" s="578"/>
      <c r="AI3798" s="578" t="s">
        <v>5893</v>
      </c>
    </row>
    <row r="3799" spans="2:37" s="577" customFormat="1" x14ac:dyDescent="0.35">
      <c r="B3799" s="593"/>
      <c r="D3799" s="577" t="s">
        <v>5932</v>
      </c>
      <c r="E3799" s="578"/>
      <c r="H3799" s="577">
        <v>88</v>
      </c>
      <c r="I3799" s="595">
        <v>95</v>
      </c>
      <c r="K3799" s="577">
        <v>166</v>
      </c>
      <c r="L3799" s="577">
        <v>158</v>
      </c>
      <c r="N3799" s="577">
        <v>5</v>
      </c>
      <c r="O3799" s="577">
        <v>2</v>
      </c>
      <c r="P3799" s="586" t="s">
        <v>5946</v>
      </c>
      <c r="Q3799" s="577">
        <v>0.1</v>
      </c>
      <c r="S3799" s="577">
        <v>26</v>
      </c>
      <c r="T3799" s="577">
        <v>243</v>
      </c>
      <c r="V3799" s="577">
        <v>1.69</v>
      </c>
      <c r="X3799" s="578" t="s">
        <v>5939</v>
      </c>
      <c r="Y3799" s="578" t="s">
        <v>5947</v>
      </c>
      <c r="Z3799" s="578" t="s">
        <v>5940</v>
      </c>
      <c r="AB3799" s="577">
        <v>42</v>
      </c>
      <c r="AD3799" s="578" t="s">
        <v>5888</v>
      </c>
      <c r="AE3799" s="578"/>
      <c r="AF3799" s="597"/>
      <c r="AG3799" s="578"/>
      <c r="AH3799" s="578"/>
      <c r="AI3799" s="580"/>
    </row>
    <row r="3800" spans="2:37" s="577" customFormat="1" x14ac:dyDescent="0.35">
      <c r="B3800" s="593"/>
      <c r="D3800" s="577" t="s">
        <v>5933</v>
      </c>
      <c r="F3800" s="594"/>
      <c r="H3800" s="577">
        <v>80</v>
      </c>
      <c r="I3800" s="577">
        <v>80</v>
      </c>
      <c r="J3800" s="598"/>
      <c r="K3800" s="577">
        <v>88</v>
      </c>
      <c r="L3800" s="596">
        <v>85</v>
      </c>
      <c r="N3800" s="577">
        <v>5</v>
      </c>
      <c r="O3800" s="577">
        <v>2</v>
      </c>
      <c r="P3800" s="586" t="s">
        <v>5946</v>
      </c>
      <c r="Q3800" s="577">
        <v>0.1</v>
      </c>
      <c r="S3800" s="577">
        <v>219</v>
      </c>
      <c r="T3800" s="577">
        <v>700</v>
      </c>
      <c r="V3800" s="577">
        <v>1.99</v>
      </c>
      <c r="X3800" s="578" t="s">
        <v>5939</v>
      </c>
      <c r="Y3800" s="578" t="s">
        <v>5947</v>
      </c>
      <c r="Z3800" s="578" t="s">
        <v>5940</v>
      </c>
      <c r="AB3800" s="577">
        <v>42</v>
      </c>
      <c r="AD3800" s="578" t="s">
        <v>5930</v>
      </c>
      <c r="AE3800" s="599"/>
      <c r="AH3800" s="580"/>
      <c r="AI3800" s="595"/>
    </row>
    <row r="3801" spans="2:37" s="577" customFormat="1" x14ac:dyDescent="0.35">
      <c r="B3801" s="593"/>
      <c r="C3801" s="600"/>
      <c r="D3801" s="577" t="s">
        <v>3919</v>
      </c>
      <c r="S3801" s="577">
        <v>110</v>
      </c>
      <c r="T3801" s="577">
        <v>227</v>
      </c>
      <c r="V3801" s="577">
        <v>1.82</v>
      </c>
      <c r="X3801" s="578" t="s">
        <v>5941</v>
      </c>
      <c r="Y3801" s="578" t="s">
        <v>5948</v>
      </c>
      <c r="Z3801" s="578" t="s">
        <v>5943</v>
      </c>
      <c r="AB3801" s="577">
        <v>42</v>
      </c>
      <c r="AD3801" s="578" t="s">
        <v>5949</v>
      </c>
    </row>
    <row r="3802" spans="2:37" x14ac:dyDescent="0.35">
      <c r="X3802" s="295"/>
      <c r="Y3802" s="295"/>
      <c r="Z3802" s="295"/>
    </row>
    <row r="3803" spans="2:37" x14ac:dyDescent="0.35">
      <c r="B3803" s="83" t="s">
        <v>5954</v>
      </c>
      <c r="D3803" s="295"/>
      <c r="E3803" s="155"/>
      <c r="F3803" s="155"/>
      <c r="G3803" s="155"/>
      <c r="H3803" s="155"/>
      <c r="I3803" s="155"/>
      <c r="J3803" s="155"/>
      <c r="Q3803" s="73"/>
      <c r="R3803" s="1"/>
      <c r="T3803" s="313"/>
      <c r="U3803" s="1"/>
      <c r="V3803" s="295"/>
      <c r="W3803" s="313"/>
      <c r="X3803" s="334"/>
    </row>
    <row r="3804" spans="2:37" x14ac:dyDescent="0.35">
      <c r="D3804" s="295"/>
      <c r="F3804" s="155"/>
      <c r="H3804" s="155"/>
      <c r="I3804" s="155"/>
      <c r="J3804" s="155"/>
      <c r="M3804" s="155"/>
      <c r="O3804" s="545" t="s">
        <v>4082</v>
      </c>
      <c r="P3804" s="170"/>
      <c r="X3804" s="572" t="s">
        <v>5802</v>
      </c>
      <c r="Y3804" s="313"/>
      <c r="Z3804" s="1"/>
      <c r="AB3804" s="313"/>
      <c r="AC3804" s="1"/>
    </row>
    <row r="3805" spans="2:37" s="577" customFormat="1" ht="37.5" customHeight="1" x14ac:dyDescent="0.35">
      <c r="B3805" s="593"/>
      <c r="D3805" s="601" t="s">
        <v>4797</v>
      </c>
      <c r="E3805" s="601" t="s">
        <v>6025</v>
      </c>
      <c r="F3805" s="601" t="s">
        <v>5798</v>
      </c>
      <c r="G3805" s="601" t="s">
        <v>5799</v>
      </c>
      <c r="H3805" s="601" t="s">
        <v>3307</v>
      </c>
      <c r="I3805" s="601" t="s">
        <v>5751</v>
      </c>
      <c r="J3805" s="601" t="s">
        <v>5750</v>
      </c>
      <c r="K3805" s="601" t="s">
        <v>5769</v>
      </c>
      <c r="L3805" s="601" t="s">
        <v>5770</v>
      </c>
      <c r="M3805" s="602" t="s">
        <v>6033</v>
      </c>
      <c r="N3805" s="601" t="s">
        <v>6034</v>
      </c>
      <c r="O3805" s="602" t="s">
        <v>5768</v>
      </c>
      <c r="P3805" s="601" t="s">
        <v>5771</v>
      </c>
      <c r="Q3805" s="602" t="s">
        <v>5767</v>
      </c>
      <c r="R3805" s="601" t="s">
        <v>5772</v>
      </c>
      <c r="S3805" s="602" t="s">
        <v>5803</v>
      </c>
      <c r="T3805" s="601" t="s">
        <v>5801</v>
      </c>
      <c r="U3805" s="601" t="s">
        <v>5773</v>
      </c>
      <c r="V3805" s="603" t="s">
        <v>5774</v>
      </c>
      <c r="W3805" s="603" t="s">
        <v>5775</v>
      </c>
      <c r="X3805" s="603" t="s">
        <v>5776</v>
      </c>
      <c r="Y3805" s="601" t="s">
        <v>4083</v>
      </c>
      <c r="Z3805" s="601" t="s">
        <v>4091</v>
      </c>
    </row>
    <row r="3806" spans="2:37" x14ac:dyDescent="0.35">
      <c r="D3806" s="577"/>
      <c r="E3806" s="577"/>
      <c r="F3806" s="577"/>
      <c r="G3806" s="577"/>
      <c r="H3806" s="578" t="s">
        <v>4084</v>
      </c>
      <c r="I3806" s="579">
        <v>4.8499999999999996</v>
      </c>
      <c r="J3806" s="580">
        <f>I3806*2</f>
        <v>9.6999999999999993</v>
      </c>
      <c r="K3806" s="581">
        <v>42</v>
      </c>
      <c r="L3806" s="577">
        <v>1000</v>
      </c>
      <c r="M3806" s="582">
        <v>31</v>
      </c>
      <c r="N3806" s="580">
        <v>1.7</v>
      </c>
      <c r="O3806" s="583">
        <f>J3806*M3806/N3806</f>
        <v>176.88235294117646</v>
      </c>
      <c r="P3806" s="584">
        <f>O3806*K3806*N3806/L3806</f>
        <v>12.6294</v>
      </c>
      <c r="Q3806" s="583">
        <v>144</v>
      </c>
      <c r="R3806" s="580">
        <f>Q3806/2</f>
        <v>72</v>
      </c>
      <c r="S3806" s="585" t="s">
        <v>0</v>
      </c>
      <c r="T3806" s="586" t="s">
        <v>0</v>
      </c>
      <c r="U3806" s="577" t="s">
        <v>0</v>
      </c>
      <c r="V3806" s="577"/>
      <c r="W3806" s="577"/>
      <c r="X3806" s="577"/>
      <c r="Y3806" s="587" t="s">
        <v>4064</v>
      </c>
      <c r="Z3806" s="588" t="s">
        <v>4092</v>
      </c>
      <c r="AC3806" t="s">
        <v>0</v>
      </c>
    </row>
    <row r="3807" spans="2:37" x14ac:dyDescent="0.35">
      <c r="D3807" s="577" t="s">
        <v>5427</v>
      </c>
      <c r="E3807" s="578" t="s">
        <v>6081</v>
      </c>
      <c r="F3807" s="580">
        <v>0</v>
      </c>
      <c r="G3807" s="580">
        <v>5</v>
      </c>
      <c r="H3807" s="578" t="s">
        <v>6019</v>
      </c>
      <c r="I3807" s="577">
        <v>0.60899999999999999</v>
      </c>
      <c r="J3807" s="580">
        <f>I3807*2</f>
        <v>1.218</v>
      </c>
      <c r="K3807" s="577">
        <v>42</v>
      </c>
      <c r="L3807" s="577">
        <v>1000</v>
      </c>
      <c r="M3807" s="582">
        <v>38</v>
      </c>
      <c r="N3807" s="580">
        <v>7</v>
      </c>
      <c r="O3807" s="583">
        <f>J3807*M3807/N3807</f>
        <v>6.6120000000000001</v>
      </c>
      <c r="P3807" s="584">
        <f>O3807*K3807*N3807/L3807</f>
        <v>1.9439280000000001</v>
      </c>
      <c r="Q3807" s="583">
        <v>16</v>
      </c>
      <c r="R3807" s="580">
        <f>Q3807/2</f>
        <v>8</v>
      </c>
      <c r="S3807" s="577">
        <v>2.39</v>
      </c>
      <c r="T3807" s="589">
        <v>1.95</v>
      </c>
      <c r="U3807" s="577">
        <v>0.93</v>
      </c>
      <c r="V3807" s="577">
        <v>0.97</v>
      </c>
      <c r="W3807" s="577">
        <v>5.2999999999999999E-2</v>
      </c>
      <c r="X3807" s="577">
        <v>2.1999999999999999E-2</v>
      </c>
      <c r="Y3807" s="587" t="s">
        <v>4145</v>
      </c>
      <c r="Z3807" s="588" t="s">
        <v>5797</v>
      </c>
      <c r="AC3807" t="s">
        <v>0</v>
      </c>
      <c r="AF3807" s="577" t="s">
        <v>5800</v>
      </c>
      <c r="AJ3807" s="1"/>
    </row>
    <row r="3808" spans="2:37" x14ac:dyDescent="0.35">
      <c r="D3808" s="577" t="s">
        <v>3919</v>
      </c>
      <c r="E3808" s="577" t="s">
        <v>3919</v>
      </c>
      <c r="F3808" s="580">
        <v>1</v>
      </c>
      <c r="G3808" s="580"/>
      <c r="H3808" s="577" t="s">
        <v>3919</v>
      </c>
      <c r="I3808" s="580"/>
      <c r="J3808" s="584"/>
      <c r="K3808" s="577"/>
      <c r="L3808" s="577"/>
      <c r="M3808" s="577"/>
      <c r="N3808" s="580"/>
      <c r="O3808" s="577"/>
      <c r="P3808" s="577"/>
      <c r="Q3808" s="580"/>
      <c r="R3808" s="584"/>
      <c r="S3808" s="577">
        <v>2.39</v>
      </c>
      <c r="T3808" s="584">
        <v>1.98</v>
      </c>
      <c r="U3808" s="580"/>
      <c r="V3808" s="577"/>
      <c r="W3808" s="577"/>
      <c r="X3808" s="577"/>
      <c r="Y3808" s="577"/>
      <c r="Z3808" s="588" t="s">
        <v>5805</v>
      </c>
      <c r="AH3808" s="1"/>
      <c r="AJ3808" s="316"/>
      <c r="AK3808" s="1"/>
    </row>
    <row r="3809" spans="2:37" x14ac:dyDescent="0.35">
      <c r="D3809" s="577" t="s">
        <v>5806</v>
      </c>
      <c r="E3809" s="577" t="s">
        <v>3919</v>
      </c>
      <c r="F3809" s="580">
        <v>1</v>
      </c>
      <c r="G3809" s="578"/>
      <c r="H3809" s="577"/>
      <c r="I3809" s="580"/>
      <c r="J3809" s="584"/>
      <c r="K3809" s="577"/>
      <c r="L3809" s="577"/>
      <c r="M3809" s="577"/>
      <c r="N3809" s="580">
        <v>6</v>
      </c>
      <c r="O3809" s="577"/>
      <c r="P3809" s="577"/>
      <c r="Q3809" s="580"/>
      <c r="R3809" s="584"/>
      <c r="S3809" s="577">
        <v>2.39</v>
      </c>
      <c r="T3809" s="584">
        <v>1.71</v>
      </c>
      <c r="U3809" s="580"/>
      <c r="V3809" s="577"/>
      <c r="W3809" s="577"/>
      <c r="X3809" s="577"/>
      <c r="Y3809" s="577"/>
      <c r="Z3809" s="578" t="s">
        <v>5804</v>
      </c>
      <c r="AH3809" s="1"/>
      <c r="AJ3809" s="316"/>
      <c r="AK3809" s="1"/>
    </row>
    <row r="3810" spans="2:37" x14ac:dyDescent="0.35">
      <c r="D3810" s="577" t="s">
        <v>5742</v>
      </c>
      <c r="E3810" s="578" t="s">
        <v>6082</v>
      </c>
      <c r="F3810" s="580">
        <v>3</v>
      </c>
      <c r="G3810" s="580">
        <v>5</v>
      </c>
      <c r="H3810" s="578" t="s">
        <v>6019</v>
      </c>
      <c r="I3810" s="577">
        <v>0.60899999999999999</v>
      </c>
      <c r="J3810" s="580">
        <f>I3810*2</f>
        <v>1.218</v>
      </c>
      <c r="K3810" s="581">
        <v>48</v>
      </c>
      <c r="L3810" s="577">
        <v>1000</v>
      </c>
      <c r="M3810" s="582">
        <v>44</v>
      </c>
      <c r="N3810" s="580">
        <v>7.6</v>
      </c>
      <c r="O3810" s="583">
        <f>J3810*M3810/N3810</f>
        <v>7.0515789473684212</v>
      </c>
      <c r="P3810" s="584">
        <f>O3810*K3810*N3810/L3810</f>
        <v>2.572416</v>
      </c>
      <c r="Q3810" s="583">
        <v>8</v>
      </c>
      <c r="R3810" s="580">
        <f>Q3810/2</f>
        <v>4</v>
      </c>
      <c r="S3810" s="577"/>
      <c r="T3810" s="584"/>
      <c r="U3810" s="590">
        <v>1.8</v>
      </c>
      <c r="V3810" s="590" t="s">
        <v>6026</v>
      </c>
      <c r="W3810" s="577"/>
      <c r="X3810" s="589"/>
      <c r="Y3810" s="577"/>
      <c r="Z3810" s="577"/>
      <c r="AB3810" s="295"/>
      <c r="AH3810" s="1"/>
      <c r="AJ3810" s="316"/>
      <c r="AK3810" s="1"/>
    </row>
    <row r="3811" spans="2:37" x14ac:dyDescent="0.35">
      <c r="D3811" s="577" t="s">
        <v>5742</v>
      </c>
      <c r="E3811" s="578" t="s">
        <v>6082</v>
      </c>
      <c r="F3811" s="580">
        <v>3</v>
      </c>
      <c r="G3811" s="580">
        <v>3</v>
      </c>
      <c r="H3811" s="577" t="s">
        <v>3919</v>
      </c>
      <c r="I3811" s="586" t="s">
        <v>3919</v>
      </c>
      <c r="J3811" s="586" t="s">
        <v>3919</v>
      </c>
      <c r="K3811" s="586" t="s">
        <v>3919</v>
      </c>
      <c r="L3811" s="586" t="s">
        <v>3919</v>
      </c>
      <c r="M3811" s="591"/>
      <c r="N3811" s="580"/>
      <c r="O3811" s="592"/>
      <c r="P3811" s="584"/>
      <c r="Q3811" s="592"/>
      <c r="R3811" s="580"/>
      <c r="S3811" s="577"/>
      <c r="T3811" s="584"/>
      <c r="U3811" s="590"/>
      <c r="V3811" s="590"/>
      <c r="W3811" s="577"/>
      <c r="X3811" s="589"/>
      <c r="Y3811" s="577"/>
      <c r="Z3811" s="577"/>
      <c r="AB3811" s="295"/>
      <c r="AH3811" s="1"/>
      <c r="AJ3811" s="316"/>
      <c r="AK3811" s="1"/>
    </row>
    <row r="3812" spans="2:37" x14ac:dyDescent="0.35">
      <c r="D3812" s="295"/>
      <c r="F3812" s="413"/>
      <c r="G3812" s="155"/>
      <c r="H3812" s="155"/>
      <c r="I3812" s="414"/>
      <c r="J3812" s="155"/>
      <c r="L3812" s="13"/>
      <c r="M3812" s="15"/>
      <c r="O3812" s="49"/>
      <c r="P3812" s="12"/>
      <c r="Q3812" s="73"/>
      <c r="R3812" s="1"/>
      <c r="T3812" s="316"/>
      <c r="U3812" s="1"/>
      <c r="W3812" s="313"/>
      <c r="X3812" s="1"/>
    </row>
    <row r="3813" spans="2:37" x14ac:dyDescent="0.35">
      <c r="B3813" s="83" t="s">
        <v>4094</v>
      </c>
      <c r="D3813" s="187"/>
      <c r="Q3813" s="73"/>
      <c r="R3813" s="1"/>
      <c r="T3813" s="313"/>
      <c r="U3813" s="1"/>
      <c r="W3813" s="313"/>
      <c r="X3813" s="1"/>
    </row>
    <row r="3814" spans="2:37" x14ac:dyDescent="0.35">
      <c r="D3814" s="187"/>
      <c r="Q3814" s="73"/>
      <c r="R3814" s="1"/>
      <c r="T3814" s="313"/>
      <c r="U3814" s="1"/>
      <c r="W3814" s="313"/>
      <c r="X3814" s="1"/>
    </row>
    <row r="3815" spans="2:37" s="577" customFormat="1" ht="24.5" x14ac:dyDescent="0.35">
      <c r="B3815" s="593"/>
      <c r="D3815" s="601" t="s">
        <v>4086</v>
      </c>
      <c r="E3815" s="601" t="s">
        <v>4087</v>
      </c>
      <c r="G3815" s="601" t="s">
        <v>6083</v>
      </c>
      <c r="H3815" s="601" t="s">
        <v>5752</v>
      </c>
      <c r="J3815" s="601" t="s">
        <v>4088</v>
      </c>
      <c r="K3815" s="601" t="s">
        <v>4097</v>
      </c>
      <c r="M3815" s="601" t="s">
        <v>4100</v>
      </c>
      <c r="O3815" s="601" t="s">
        <v>4095</v>
      </c>
      <c r="P3815" s="601" t="s">
        <v>4090</v>
      </c>
      <c r="Q3815" s="601" t="s">
        <v>4085</v>
      </c>
      <c r="R3815" s="601" t="s">
        <v>4089</v>
      </c>
      <c r="T3815" s="601" t="s">
        <v>4091</v>
      </c>
      <c r="V3815" s="601" t="s">
        <v>4080</v>
      </c>
    </row>
    <row r="3816" spans="2:37" s="577" customFormat="1" x14ac:dyDescent="0.35">
      <c r="B3816" s="593"/>
      <c r="D3816" s="578" t="s">
        <v>4084</v>
      </c>
      <c r="E3816" s="578" t="s">
        <v>4084</v>
      </c>
      <c r="G3816" s="577">
        <v>2.2000000000000002</v>
      </c>
      <c r="H3816" s="577">
        <v>2.2000000000000002</v>
      </c>
      <c r="J3816" s="577" t="s">
        <v>4093</v>
      </c>
      <c r="K3816" s="578" t="s">
        <v>4263</v>
      </c>
      <c r="M3816" s="578" t="s">
        <v>4099</v>
      </c>
      <c r="O3816" s="581">
        <v>8000</v>
      </c>
      <c r="P3816" s="577">
        <v>2</v>
      </c>
      <c r="Q3816" s="577">
        <v>2000</v>
      </c>
      <c r="R3816" s="584">
        <f t="shared" ref="R3816:R3822" si="513">(O3816/2)*(P3816/Q3816)</f>
        <v>4</v>
      </c>
      <c r="T3816" s="578" t="s">
        <v>4092</v>
      </c>
      <c r="U3816" s="578" t="s">
        <v>0</v>
      </c>
      <c r="V3816" s="578" t="s">
        <v>4081</v>
      </c>
      <c r="W3816" s="577" t="s">
        <v>0</v>
      </c>
    </row>
    <row r="3817" spans="2:37" s="577" customFormat="1" x14ac:dyDescent="0.35">
      <c r="B3817" s="593"/>
      <c r="D3817" s="578"/>
      <c r="E3817" s="578"/>
      <c r="K3817" s="578" t="s">
        <v>4264</v>
      </c>
      <c r="M3817" s="578" t="s">
        <v>4096</v>
      </c>
      <c r="O3817" s="581">
        <v>500</v>
      </c>
      <c r="P3817" s="577">
        <v>1.3</v>
      </c>
      <c r="Q3817" s="577">
        <v>2000</v>
      </c>
      <c r="R3817" s="584">
        <f t="shared" si="513"/>
        <v>0.16250000000000001</v>
      </c>
      <c r="T3817" s="578" t="s">
        <v>122</v>
      </c>
      <c r="U3817" s="578"/>
      <c r="V3817" s="578"/>
      <c r="W3817" s="612"/>
    </row>
    <row r="3818" spans="2:37" s="577" customFormat="1" x14ac:dyDescent="0.35">
      <c r="B3818" s="593"/>
      <c r="G3818" s="609"/>
      <c r="H3818" s="609"/>
      <c r="I3818" s="609"/>
      <c r="J3818" s="609"/>
      <c r="K3818" s="611" t="s">
        <v>4264</v>
      </c>
      <c r="L3818" s="609"/>
      <c r="M3818" s="611" t="s">
        <v>4098</v>
      </c>
      <c r="N3818" s="609"/>
      <c r="O3818" s="613">
        <v>940</v>
      </c>
      <c r="P3818" s="609">
        <v>7</v>
      </c>
      <c r="Q3818" s="609">
        <v>2000</v>
      </c>
      <c r="R3818" s="614">
        <f t="shared" si="513"/>
        <v>1.645</v>
      </c>
      <c r="T3818" s="578" t="s">
        <v>122</v>
      </c>
      <c r="U3818" s="578"/>
      <c r="V3818" s="578"/>
    </row>
    <row r="3819" spans="2:37" s="577" customFormat="1" x14ac:dyDescent="0.35">
      <c r="B3819" s="593"/>
      <c r="D3819" s="578" t="s">
        <v>4258</v>
      </c>
      <c r="G3819" s="586" t="s">
        <v>4259</v>
      </c>
      <c r="H3819" s="586" t="s">
        <v>4259</v>
      </c>
      <c r="J3819" s="577" t="s">
        <v>4093</v>
      </c>
      <c r="K3819" s="578" t="s">
        <v>4261</v>
      </c>
      <c r="M3819" s="578" t="s">
        <v>4260</v>
      </c>
      <c r="O3819" s="581">
        <v>20</v>
      </c>
      <c r="P3819" s="577">
        <v>60</v>
      </c>
      <c r="Q3819" s="577">
        <v>2000</v>
      </c>
      <c r="R3819" s="584">
        <f t="shared" si="513"/>
        <v>0.3</v>
      </c>
      <c r="T3819" s="578" t="s">
        <v>4268</v>
      </c>
      <c r="U3819" s="578"/>
      <c r="V3819" s="578"/>
    </row>
    <row r="3820" spans="2:37" s="577" customFormat="1" x14ac:dyDescent="0.35">
      <c r="B3820" s="593"/>
      <c r="K3820" s="578" t="s">
        <v>122</v>
      </c>
      <c r="L3820" s="578"/>
      <c r="M3820" s="578" t="s">
        <v>4262</v>
      </c>
      <c r="N3820" s="581"/>
      <c r="O3820" s="581">
        <v>8</v>
      </c>
      <c r="P3820" s="577">
        <v>9</v>
      </c>
      <c r="Q3820" s="577">
        <v>2000</v>
      </c>
      <c r="R3820" s="584">
        <f t="shared" si="513"/>
        <v>1.7999999999999999E-2</v>
      </c>
      <c r="S3820" s="578"/>
      <c r="T3820" s="578" t="s">
        <v>122</v>
      </c>
      <c r="U3820" s="578"/>
    </row>
    <row r="3821" spans="2:37" s="577" customFormat="1" x14ac:dyDescent="0.35">
      <c r="B3821" s="593"/>
      <c r="K3821" s="578" t="s">
        <v>4265</v>
      </c>
      <c r="L3821" s="578"/>
      <c r="M3821" s="578" t="s">
        <v>4266</v>
      </c>
      <c r="N3821" s="581"/>
      <c r="O3821" s="581">
        <v>27</v>
      </c>
      <c r="P3821" s="577">
        <v>60</v>
      </c>
      <c r="Q3821" s="577">
        <v>2000</v>
      </c>
      <c r="R3821" s="584">
        <f t="shared" si="513"/>
        <v>0.40499999999999997</v>
      </c>
      <c r="S3821" s="578"/>
      <c r="T3821" s="578" t="s">
        <v>122</v>
      </c>
      <c r="U3821" s="578"/>
    </row>
    <row r="3822" spans="2:37" s="577" customFormat="1" x14ac:dyDescent="0.35">
      <c r="B3822" s="593"/>
      <c r="K3822" s="578" t="s">
        <v>122</v>
      </c>
      <c r="L3822" s="578"/>
      <c r="M3822" s="578" t="s">
        <v>4267</v>
      </c>
      <c r="N3822" s="581"/>
      <c r="O3822" s="581">
        <v>13</v>
      </c>
      <c r="P3822" s="577">
        <v>43</v>
      </c>
      <c r="Q3822" s="577">
        <v>2000</v>
      </c>
      <c r="R3822" s="584">
        <f t="shared" si="513"/>
        <v>0.13974999999999999</v>
      </c>
      <c r="S3822" s="578"/>
      <c r="T3822" s="578" t="s">
        <v>122</v>
      </c>
      <c r="U3822" s="578"/>
    </row>
    <row r="3823" spans="2:37" s="577" customFormat="1" x14ac:dyDescent="0.35">
      <c r="B3823" s="593"/>
      <c r="K3823" s="578" t="s">
        <v>4277</v>
      </c>
      <c r="L3823" s="578"/>
      <c r="M3823" s="578"/>
      <c r="N3823" s="581"/>
      <c r="O3823" s="581"/>
      <c r="R3823" s="584">
        <v>5.1999999999999998E-2</v>
      </c>
      <c r="S3823" s="578"/>
      <c r="T3823" s="578"/>
      <c r="U3823" s="578"/>
    </row>
    <row r="3824" spans="2:37" s="577" customFormat="1" x14ac:dyDescent="0.35">
      <c r="B3824" s="593"/>
      <c r="K3824" s="578" t="s">
        <v>4278</v>
      </c>
      <c r="L3824" s="578"/>
      <c r="M3824" s="578" t="s">
        <v>4271</v>
      </c>
      <c r="N3824" s="581"/>
      <c r="O3824" s="581">
        <v>0.6</v>
      </c>
      <c r="P3824" s="577">
        <v>460</v>
      </c>
      <c r="Q3824" s="609">
        <v>2000</v>
      </c>
      <c r="R3824" s="614">
        <f>(O3824/2)*(P3824/Q3824)</f>
        <v>6.9000000000000006E-2</v>
      </c>
      <c r="S3824" s="578"/>
      <c r="T3824" s="578"/>
      <c r="U3824" s="578"/>
    </row>
    <row r="3825" spans="1:24" s="577" customFormat="1" x14ac:dyDescent="0.35">
      <c r="B3825" s="593"/>
      <c r="K3825" s="578"/>
      <c r="L3825" s="578"/>
      <c r="M3825" s="578"/>
      <c r="N3825" s="581"/>
      <c r="O3825" s="581"/>
      <c r="R3825" s="584">
        <f>SUM(R3819:R3824)</f>
        <v>0.9837499999999999</v>
      </c>
      <c r="S3825" s="578" t="s">
        <v>4272</v>
      </c>
      <c r="T3825" s="578"/>
      <c r="U3825" s="578"/>
    </row>
    <row r="3826" spans="1:24" s="577" customFormat="1" x14ac:dyDescent="0.35">
      <c r="B3826" s="593"/>
      <c r="K3826" s="578"/>
      <c r="L3826" s="578"/>
      <c r="M3826" s="578"/>
      <c r="N3826" s="581"/>
      <c r="O3826" s="581"/>
      <c r="R3826" s="584"/>
      <c r="S3826" s="578"/>
      <c r="T3826" s="578"/>
      <c r="U3826" s="578"/>
    </row>
    <row r="3827" spans="1:24" s="577" customFormat="1" x14ac:dyDescent="0.35">
      <c r="B3827" s="593"/>
      <c r="K3827" s="578" t="s">
        <v>4269</v>
      </c>
      <c r="L3827" s="578"/>
      <c r="M3827" s="578" t="s">
        <v>4270</v>
      </c>
      <c r="N3827" s="581"/>
      <c r="O3827" s="581">
        <v>31</v>
      </c>
      <c r="P3827" s="577">
        <v>60</v>
      </c>
      <c r="Q3827" s="577">
        <v>2000</v>
      </c>
      <c r="R3827" s="584">
        <f>(O3827/2)*(P3827/Q3827)</f>
        <v>0.46499999999999997</v>
      </c>
      <c r="S3827" s="578" t="s">
        <v>4273</v>
      </c>
      <c r="T3827" s="578"/>
      <c r="U3827" s="578"/>
    </row>
    <row r="3828" spans="1:24" s="577" customFormat="1" x14ac:dyDescent="0.35">
      <c r="B3828" s="593"/>
      <c r="K3828" s="578" t="s">
        <v>4275</v>
      </c>
      <c r="L3828" s="578"/>
      <c r="M3828" s="578" t="s">
        <v>4276</v>
      </c>
      <c r="N3828" s="581"/>
      <c r="Q3828" s="584"/>
      <c r="R3828" s="584">
        <v>1.6</v>
      </c>
      <c r="S3828" s="578" t="s">
        <v>4274</v>
      </c>
      <c r="T3828" s="578"/>
      <c r="U3828" s="578"/>
    </row>
    <row r="3829" spans="1:24" x14ac:dyDescent="0.35">
      <c r="K3829" s="415"/>
      <c r="L3829" s="295"/>
      <c r="N3829" s="15"/>
      <c r="Q3829" s="12"/>
      <c r="S3829" s="295"/>
      <c r="T3829" s="295"/>
      <c r="U3829" s="295"/>
    </row>
    <row r="3830" spans="1:24" s="577" customFormat="1" ht="24.5" x14ac:dyDescent="0.35">
      <c r="B3830" s="593"/>
      <c r="D3830" s="601" t="s">
        <v>4116</v>
      </c>
      <c r="E3830" s="601" t="s">
        <v>4117</v>
      </c>
      <c r="G3830" s="601" t="s">
        <v>4118</v>
      </c>
      <c r="I3830" s="601" t="s">
        <v>4120</v>
      </c>
      <c r="J3830" s="601" t="s">
        <v>4119</v>
      </c>
      <c r="L3830" s="601" t="s">
        <v>4121</v>
      </c>
      <c r="M3830" s="601" t="s">
        <v>4122</v>
      </c>
      <c r="N3830" s="581"/>
      <c r="O3830" s="601" t="s">
        <v>4123</v>
      </c>
      <c r="Q3830" s="584"/>
      <c r="S3830" s="578"/>
      <c r="T3830" s="578"/>
      <c r="U3830" s="578"/>
    </row>
    <row r="3831" spans="1:24" s="577" customFormat="1" x14ac:dyDescent="0.35">
      <c r="B3831" s="593"/>
      <c r="D3831" s="577">
        <v>8</v>
      </c>
      <c r="E3831" s="577">
        <v>11</v>
      </c>
      <c r="G3831" s="615">
        <v>0.8</v>
      </c>
      <c r="I3831" s="577">
        <v>7.5</v>
      </c>
      <c r="J3831" s="577">
        <v>9</v>
      </c>
      <c r="L3831" s="579">
        <f>G3831*I3831^2*D3831/1000</f>
        <v>0.36</v>
      </c>
      <c r="M3831" s="579">
        <f>(1-G3831)*J3831^2*E3831/1000</f>
        <v>0.17819999999999997</v>
      </c>
      <c r="N3831" s="581"/>
      <c r="O3831" s="579">
        <f>SUM(L3831:M3831)</f>
        <v>0.53820000000000001</v>
      </c>
      <c r="Q3831" s="584"/>
      <c r="S3831" s="578"/>
      <c r="T3831" s="578"/>
      <c r="U3831" s="578"/>
    </row>
    <row r="3832" spans="1:24" s="577" customFormat="1" x14ac:dyDescent="0.35">
      <c r="B3832" s="593"/>
      <c r="G3832" s="615"/>
      <c r="L3832" s="579"/>
      <c r="M3832" s="579"/>
      <c r="N3832" s="581"/>
      <c r="O3832" s="579"/>
      <c r="Q3832" s="584"/>
      <c r="S3832" s="578"/>
      <c r="T3832" s="578"/>
      <c r="U3832" s="578"/>
    </row>
    <row r="3833" spans="1:24" s="5" customFormat="1" x14ac:dyDescent="0.35">
      <c r="A3833" s="86" t="s">
        <v>7122</v>
      </c>
    </row>
    <row r="3834" spans="1:24" s="577" customFormat="1" x14ac:dyDescent="0.35">
      <c r="B3834" s="593"/>
      <c r="G3834" s="615"/>
      <c r="L3834" s="579"/>
      <c r="M3834" s="579"/>
      <c r="N3834" s="581"/>
      <c r="O3834" s="579"/>
      <c r="Q3834" s="584"/>
      <c r="S3834" s="578"/>
      <c r="T3834" s="578"/>
      <c r="U3834" s="578"/>
    </row>
    <row r="3835" spans="1:24" x14ac:dyDescent="0.35">
      <c r="B3835" s="83" t="s">
        <v>2076</v>
      </c>
      <c r="D3835" s="503" t="s">
        <v>6978</v>
      </c>
      <c r="E3835" s="503"/>
      <c r="F3835" s="503"/>
      <c r="G3835" s="732" t="s">
        <v>2</v>
      </c>
      <c r="H3835" s="172">
        <v>1.2</v>
      </c>
      <c r="I3835" s="155"/>
      <c r="J3835" s="155"/>
      <c r="K3835" s="155"/>
      <c r="L3835" s="1"/>
      <c r="M3835" s="155"/>
      <c r="N3835" s="1"/>
      <c r="Q3835" s="73"/>
      <c r="R3835" s="1"/>
      <c r="T3835" s="313"/>
      <c r="U3835" s="1"/>
      <c r="W3835" s="313"/>
      <c r="X3835" s="1"/>
    </row>
    <row r="3836" spans="1:24" x14ac:dyDescent="0.35">
      <c r="D3836" s="503" t="s">
        <v>3049</v>
      </c>
      <c r="E3836" s="503" t="s">
        <v>6979</v>
      </c>
      <c r="F3836" s="503"/>
      <c r="G3836" s="732" t="s">
        <v>2</v>
      </c>
      <c r="H3836" s="236">
        <f>H3835</f>
        <v>1.2</v>
      </c>
      <c r="I3836" s="155"/>
      <c r="J3836" s="155"/>
      <c r="K3836" s="155"/>
      <c r="L3836" s="1"/>
      <c r="M3836" s="155"/>
      <c r="N3836" s="1"/>
      <c r="Q3836" s="73"/>
      <c r="R3836" s="1"/>
      <c r="T3836" s="313"/>
      <c r="U3836" s="1"/>
      <c r="W3836" s="313"/>
      <c r="X3836" s="1"/>
    </row>
    <row r="3837" spans="1:24" x14ac:dyDescent="0.35">
      <c r="D3837" s="503"/>
      <c r="E3837" s="732" t="s">
        <v>6980</v>
      </c>
      <c r="F3837" s="503"/>
      <c r="G3837" s="732" t="s">
        <v>2</v>
      </c>
      <c r="H3837" s="236">
        <f>I3681-0.1</f>
        <v>-0.1</v>
      </c>
      <c r="I3837" s="155"/>
      <c r="J3837" s="155"/>
      <c r="K3837" s="155"/>
      <c r="L3837" s="1"/>
      <c r="M3837" s="155"/>
      <c r="N3837" s="1"/>
      <c r="Q3837" s="73"/>
      <c r="R3837" s="1"/>
      <c r="T3837" s="313"/>
      <c r="U3837" s="1"/>
      <c r="W3837" s="313"/>
      <c r="X3837" s="1"/>
    </row>
    <row r="3838" spans="1:24" x14ac:dyDescent="0.35">
      <c r="D3838" s="503"/>
      <c r="E3838" s="732" t="s">
        <v>6404</v>
      </c>
      <c r="F3838" s="503"/>
      <c r="G3838" s="732" t="s">
        <v>2</v>
      </c>
      <c r="H3838" s="236">
        <f>H3837-H3836</f>
        <v>-1.3</v>
      </c>
      <c r="I3838" s="155"/>
      <c r="J3838" s="503"/>
      <c r="K3838" s="155"/>
      <c r="L3838" s="1"/>
      <c r="M3838" s="155"/>
      <c r="N3838" s="1"/>
      <c r="Q3838" s="73"/>
      <c r="R3838" s="1"/>
      <c r="T3838" s="313"/>
      <c r="U3838" s="1"/>
      <c r="W3838" s="313"/>
      <c r="X3838" s="1"/>
    </row>
    <row r="3839" spans="1:24" x14ac:dyDescent="0.35">
      <c r="D3839" s="503" t="s">
        <v>6985</v>
      </c>
      <c r="E3839" s="732"/>
      <c r="F3839" s="503"/>
      <c r="G3839" s="732" t="s">
        <v>1167</v>
      </c>
      <c r="H3839" s="639">
        <v>20000</v>
      </c>
      <c r="I3839" s="155"/>
      <c r="J3839" s="503" t="s">
        <v>6981</v>
      </c>
      <c r="K3839" s="155"/>
      <c r="L3839" s="1"/>
      <c r="M3839" s="155"/>
      <c r="N3839" s="1"/>
      <c r="Q3839" s="73"/>
      <c r="R3839" s="1"/>
      <c r="T3839" s="313"/>
      <c r="U3839" s="1"/>
      <c r="W3839" s="313"/>
      <c r="X3839" s="1"/>
    </row>
    <row r="3840" spans="1:24" x14ac:dyDescent="0.35">
      <c r="D3840" s="503"/>
      <c r="E3840" s="732"/>
      <c r="F3840" s="503"/>
      <c r="G3840" s="732" t="s">
        <v>2</v>
      </c>
      <c r="H3840" s="155">
        <f>H3837/H3839</f>
        <v>-5.0000000000000004E-6</v>
      </c>
      <c r="I3840" s="155"/>
      <c r="J3840" s="503"/>
      <c r="K3840" s="155"/>
      <c r="L3840" s="1"/>
      <c r="M3840" s="155"/>
      <c r="N3840" s="1"/>
      <c r="Q3840" s="73"/>
      <c r="R3840" s="1"/>
      <c r="T3840" s="313"/>
      <c r="U3840" s="1"/>
      <c r="W3840" s="313"/>
      <c r="X3840" s="1"/>
    </row>
    <row r="3841" spans="4:24" x14ac:dyDescent="0.35">
      <c r="D3841" s="503" t="s">
        <v>6997</v>
      </c>
      <c r="E3841" s="732"/>
      <c r="F3841" s="503"/>
      <c r="G3841" s="732" t="s">
        <v>6982</v>
      </c>
      <c r="H3841" s="171">
        <v>100</v>
      </c>
      <c r="I3841" s="155"/>
      <c r="J3841" s="503" t="s">
        <v>6998</v>
      </c>
      <c r="K3841" s="155"/>
      <c r="L3841" s="1"/>
      <c r="M3841" s="155"/>
      <c r="N3841" s="1"/>
      <c r="Q3841" s="73"/>
      <c r="R3841" s="1"/>
      <c r="T3841" s="313"/>
      <c r="U3841" s="1"/>
      <c r="W3841" s="313"/>
      <c r="X3841" s="1"/>
    </row>
    <row r="3842" spans="4:24" x14ac:dyDescent="0.35">
      <c r="D3842" s="503" t="s">
        <v>6983</v>
      </c>
      <c r="E3842" s="732"/>
      <c r="F3842" s="503"/>
      <c r="G3842" s="732" t="s">
        <v>6984</v>
      </c>
      <c r="H3842" s="236">
        <f>H3838/H3841</f>
        <v>-1.3000000000000001E-2</v>
      </c>
      <c r="I3842" s="155"/>
      <c r="J3842" s="503" t="s">
        <v>6992</v>
      </c>
      <c r="K3842" s="155"/>
      <c r="L3842" s="1"/>
      <c r="M3842" s="155"/>
      <c r="N3842" s="1"/>
      <c r="Q3842" s="73"/>
      <c r="R3842" s="1"/>
      <c r="T3842" s="313"/>
      <c r="U3842" s="1"/>
      <c r="W3842" s="313"/>
      <c r="X3842" s="1"/>
    </row>
    <row r="3843" spans="4:24" x14ac:dyDescent="0.35">
      <c r="D3843" s="503" t="s">
        <v>6986</v>
      </c>
      <c r="E3843" s="732"/>
      <c r="F3843" s="503"/>
      <c r="G3843" s="736" t="s">
        <v>6987</v>
      </c>
      <c r="H3843" s="414">
        <f>1000*(H3842/H3840)^-1</f>
        <v>0.38461538461538464</v>
      </c>
      <c r="I3843" s="155"/>
      <c r="J3843" s="503" t="s">
        <v>6988</v>
      </c>
      <c r="K3843" s="155"/>
      <c r="L3843" s="1"/>
      <c r="M3843" s="155"/>
      <c r="N3843" s="1"/>
      <c r="Q3843" s="73"/>
      <c r="R3843" s="1"/>
      <c r="T3843" s="313"/>
      <c r="U3843" s="1"/>
      <c r="W3843" s="313"/>
      <c r="X3843" s="1"/>
    </row>
    <row r="3844" spans="4:24" x14ac:dyDescent="0.35">
      <c r="D3844" s="503" t="s">
        <v>6991</v>
      </c>
      <c r="E3844" s="732"/>
      <c r="F3844" s="732"/>
      <c r="G3844" s="732" t="s">
        <v>6989</v>
      </c>
      <c r="H3844" s="638">
        <v>1</v>
      </c>
      <c r="I3844" s="155"/>
      <c r="J3844" s="503"/>
      <c r="K3844" s="1"/>
      <c r="L3844" s="155"/>
      <c r="M3844" s="1"/>
      <c r="Q3844" s="73"/>
      <c r="R3844" s="1"/>
      <c r="T3844" s="313"/>
      <c r="U3844" s="1"/>
      <c r="W3844" s="313"/>
      <c r="X3844" s="1"/>
    </row>
    <row r="3845" spans="4:24" x14ac:dyDescent="0.35">
      <c r="D3845" s="503" t="s">
        <v>6990</v>
      </c>
      <c r="E3845" s="732"/>
      <c r="F3845" s="732"/>
      <c r="G3845" s="732" t="s">
        <v>6989</v>
      </c>
      <c r="H3845" s="638">
        <f>H3838/(H3841/1000)</f>
        <v>-13</v>
      </c>
      <c r="I3845" s="155"/>
      <c r="J3845" s="503"/>
      <c r="K3845" s="1"/>
      <c r="L3845" s="155"/>
      <c r="M3845" s="1"/>
      <c r="Q3845" s="73"/>
      <c r="R3845" s="1"/>
      <c r="T3845" s="313"/>
      <c r="U3845" s="1"/>
      <c r="W3845" s="313"/>
      <c r="X3845" s="1"/>
    </row>
    <row r="3846" spans="4:24" x14ac:dyDescent="0.35">
      <c r="D3846" s="503" t="s">
        <v>6974</v>
      </c>
      <c r="E3846" s="503"/>
      <c r="F3846" s="503"/>
      <c r="G3846" s="737" t="s">
        <v>6996</v>
      </c>
      <c r="I3846" s="155"/>
      <c r="J3846" s="738" t="str">
        <f>H1495</f>
        <v>push/pull</v>
      </c>
      <c r="K3846" s="710"/>
      <c r="M3846" s="1"/>
      <c r="Q3846" s="73"/>
      <c r="R3846" s="1"/>
      <c r="T3846" s="313"/>
      <c r="U3846" s="1"/>
      <c r="W3846" s="313"/>
      <c r="X3846" s="1"/>
    </row>
    <row r="3847" spans="4:24" x14ac:dyDescent="0.35">
      <c r="D3847" s="503"/>
      <c r="E3847" s="503" t="s">
        <v>7001</v>
      </c>
      <c r="F3847" s="503"/>
      <c r="G3847" s="732" t="s">
        <v>6982</v>
      </c>
      <c r="H3847" s="171">
        <v>10</v>
      </c>
      <c r="I3847" s="155"/>
      <c r="J3847" s="738" t="str">
        <f>H1495</f>
        <v>push/pull</v>
      </c>
      <c r="K3847" s="710"/>
      <c r="M3847" s="1"/>
      <c r="Q3847" s="73"/>
      <c r="R3847" s="1"/>
      <c r="T3847" s="313"/>
      <c r="U3847" s="1"/>
      <c r="W3847" s="313"/>
      <c r="X3847" s="1"/>
    </row>
    <row r="3848" spans="4:24" x14ac:dyDescent="0.35">
      <c r="D3848" s="503"/>
      <c r="E3848" s="503" t="s">
        <v>7002</v>
      </c>
      <c r="F3848" s="503"/>
      <c r="G3848" s="732" t="s">
        <v>7000</v>
      </c>
      <c r="H3848" s="171">
        <v>50</v>
      </c>
      <c r="I3848" s="155"/>
      <c r="J3848" s="738">
        <f>P1495</f>
        <v>0</v>
      </c>
      <c r="K3848" s="710"/>
      <c r="M3848" s="1"/>
      <c r="Q3848" s="73"/>
      <c r="R3848" s="1"/>
      <c r="T3848" s="313"/>
      <c r="U3848" s="1"/>
      <c r="W3848" s="313"/>
      <c r="X3848" s="1"/>
    </row>
    <row r="3849" spans="4:24" x14ac:dyDescent="0.35">
      <c r="D3849" s="503" t="s">
        <v>7004</v>
      </c>
      <c r="E3849" s="503"/>
      <c r="F3849" s="503"/>
      <c r="G3849" s="737" t="s">
        <v>7003</v>
      </c>
      <c r="I3849" s="155"/>
      <c r="J3849" s="738" t="s">
        <v>6999</v>
      </c>
      <c r="K3849" s="710"/>
      <c r="M3849" s="1"/>
      <c r="Q3849" s="73"/>
      <c r="R3849" s="1"/>
      <c r="T3849" s="313"/>
      <c r="U3849" s="1"/>
      <c r="W3849" s="313"/>
      <c r="X3849" s="1"/>
    </row>
    <row r="3850" spans="4:24" x14ac:dyDescent="0.35">
      <c r="D3850" s="503"/>
      <c r="E3850" s="503" t="s">
        <v>7001</v>
      </c>
      <c r="F3850" s="503"/>
      <c r="G3850" s="732" t="s">
        <v>6982</v>
      </c>
      <c r="H3850" s="171">
        <v>5</v>
      </c>
      <c r="I3850" s="155"/>
      <c r="J3850" s="738" t="str">
        <f>H1494</f>
        <v>push/pull</v>
      </c>
      <c r="K3850" s="710"/>
      <c r="M3850" s="1"/>
      <c r="Q3850" s="73"/>
      <c r="R3850" s="1"/>
      <c r="T3850" s="313"/>
      <c r="U3850" s="1"/>
      <c r="W3850" s="313"/>
      <c r="X3850" s="1"/>
    </row>
    <row r="3851" spans="4:24" x14ac:dyDescent="0.35">
      <c r="D3851" s="503"/>
      <c r="E3851" s="503" t="s">
        <v>7002</v>
      </c>
      <c r="F3851" s="503"/>
      <c r="G3851" s="732" t="s">
        <v>7000</v>
      </c>
      <c r="H3851" s="171">
        <v>46</v>
      </c>
      <c r="I3851" s="155"/>
      <c r="J3851" s="738">
        <f>P1494</f>
        <v>0</v>
      </c>
      <c r="K3851" s="710"/>
      <c r="M3851" s="1"/>
      <c r="Q3851" s="73"/>
      <c r="R3851" s="1"/>
      <c r="T3851" s="313"/>
      <c r="U3851" s="1"/>
      <c r="W3851" s="313"/>
      <c r="X3851" s="1"/>
    </row>
    <row r="3852" spans="4:24" x14ac:dyDescent="0.35">
      <c r="D3852" s="503" t="s">
        <v>3295</v>
      </c>
      <c r="E3852" s="503"/>
      <c r="F3852" s="503"/>
      <c r="G3852" s="737" t="s">
        <v>6995</v>
      </c>
      <c r="I3852" s="155"/>
      <c r="J3852" s="503"/>
      <c r="K3852" s="710"/>
      <c r="M3852" s="1"/>
      <c r="Q3852" s="73"/>
      <c r="R3852" s="1"/>
      <c r="T3852" s="313"/>
      <c r="U3852" s="1"/>
      <c r="W3852" s="313"/>
      <c r="X3852" s="1"/>
    </row>
    <row r="3853" spans="4:24" x14ac:dyDescent="0.35">
      <c r="D3853" s="503"/>
      <c r="E3853" s="503" t="s">
        <v>7009</v>
      </c>
      <c r="F3853" s="503"/>
      <c r="G3853" s="732" t="s">
        <v>6982</v>
      </c>
      <c r="H3853" s="172">
        <v>0.01</v>
      </c>
      <c r="J3853" s="738">
        <f>M3911</f>
        <v>0</v>
      </c>
      <c r="K3853" s="1"/>
      <c r="L3853" s="155"/>
      <c r="M3853" s="1"/>
      <c r="Q3853" s="73"/>
      <c r="R3853" s="1"/>
      <c r="T3853" s="313"/>
      <c r="U3853" s="1"/>
      <c r="W3853" s="313"/>
      <c r="X3853" s="1"/>
    </row>
    <row r="3854" spans="4:24" x14ac:dyDescent="0.35">
      <c r="D3854" s="503"/>
      <c r="E3854" s="503" t="s">
        <v>7010</v>
      </c>
      <c r="F3854" s="503"/>
      <c r="G3854" s="732" t="s">
        <v>6982</v>
      </c>
      <c r="H3854" s="172">
        <v>0.06</v>
      </c>
      <c r="I3854" s="155"/>
      <c r="J3854" s="503"/>
      <c r="K3854" s="1"/>
      <c r="L3854" s="155"/>
      <c r="M3854" s="1"/>
      <c r="Q3854" s="73"/>
      <c r="R3854" s="1"/>
      <c r="T3854" s="313"/>
      <c r="U3854" s="1"/>
      <c r="W3854" s="313"/>
      <c r="X3854" s="1"/>
    </row>
    <row r="3855" spans="4:24" x14ac:dyDescent="0.35">
      <c r="D3855" s="503"/>
      <c r="E3855" s="503" t="s">
        <v>7006</v>
      </c>
      <c r="F3855" s="503"/>
      <c r="G3855" s="732" t="s">
        <v>7005</v>
      </c>
      <c r="H3855" s="719">
        <v>1</v>
      </c>
      <c r="I3855" s="155"/>
      <c r="J3855" s="503"/>
      <c r="K3855" s="1"/>
      <c r="L3855" s="155"/>
      <c r="M3855" s="1"/>
      <c r="Q3855" s="73"/>
      <c r="R3855" s="1"/>
      <c r="T3855" s="313"/>
      <c r="U3855" s="1"/>
      <c r="W3855" s="313"/>
      <c r="X3855" s="1"/>
    </row>
    <row r="3856" spans="4:24" x14ac:dyDescent="0.35">
      <c r="D3856" s="503"/>
      <c r="E3856" s="503" t="s">
        <v>7013</v>
      </c>
      <c r="F3856" s="503"/>
      <c r="G3856" s="732" t="s">
        <v>7008</v>
      </c>
      <c r="H3856" s="642">
        <v>80</v>
      </c>
      <c r="I3856" s="155"/>
      <c r="J3856" s="503" t="s">
        <v>7015</v>
      </c>
      <c r="K3856" s="1"/>
      <c r="L3856" s="155"/>
      <c r="M3856" s="1"/>
      <c r="Q3856" s="73"/>
      <c r="R3856" s="1"/>
      <c r="T3856" s="313"/>
      <c r="U3856" s="1"/>
      <c r="W3856" s="313"/>
      <c r="X3856" s="1"/>
    </row>
    <row r="3857" spans="2:26" x14ac:dyDescent="0.35">
      <c r="D3857" s="503"/>
      <c r="E3857" s="503" t="s">
        <v>7014</v>
      </c>
      <c r="F3857" s="503"/>
      <c r="G3857" s="732" t="s">
        <v>7008</v>
      </c>
      <c r="H3857" s="642">
        <v>73</v>
      </c>
      <c r="I3857" s="155"/>
      <c r="J3857" s="155"/>
      <c r="K3857" s="1"/>
      <c r="L3857" s="155"/>
      <c r="M3857" s="1"/>
      <c r="Q3857" s="73"/>
      <c r="R3857" s="1"/>
      <c r="T3857" s="313"/>
      <c r="U3857" s="1"/>
      <c r="W3857" s="313"/>
      <c r="X3857" s="1"/>
    </row>
    <row r="3858" spans="2:26" ht="15" thickBot="1" x14ac:dyDescent="0.4">
      <c r="D3858" s="155"/>
      <c r="E3858" s="155"/>
      <c r="F3858" s="155"/>
      <c r="G3858" s="1"/>
      <c r="H3858" s="155"/>
      <c r="J3858" s="155"/>
      <c r="O3858" s="295"/>
      <c r="Q3858" s="295"/>
      <c r="R3858" s="295"/>
      <c r="S3858" s="1"/>
      <c r="V3858" s="295"/>
      <c r="W3858" s="1"/>
      <c r="Y3858" s="716" t="s">
        <v>7011</v>
      </c>
      <c r="Z3858" s="716" t="s">
        <v>7012</v>
      </c>
    </row>
    <row r="3859" spans="2:26" ht="15" thickTop="1" x14ac:dyDescent="0.35">
      <c r="B3859" s="83" t="s">
        <v>5613</v>
      </c>
      <c r="D3859" s="724" t="s">
        <v>6962</v>
      </c>
      <c r="E3859" s="546"/>
      <c r="G3859" s="503" t="s">
        <v>6963</v>
      </c>
      <c r="H3859" s="503"/>
      <c r="I3859" s="155"/>
      <c r="J3859" s="155"/>
      <c r="K3859" s="155"/>
      <c r="L3859" s="1"/>
      <c r="M3859" s="155"/>
      <c r="N3859" s="1"/>
      <c r="R3859" s="73"/>
      <c r="S3859" s="1"/>
      <c r="U3859" s="313"/>
      <c r="V3859" s="1"/>
    </row>
    <row r="3860" spans="2:26" x14ac:dyDescent="0.35">
      <c r="D3860" s="724"/>
      <c r="E3860" s="546"/>
      <c r="G3860" s="503"/>
      <c r="H3860" s="503"/>
      <c r="I3860" s="155"/>
      <c r="J3860" s="155"/>
      <c r="K3860" s="155"/>
      <c r="L3860" s="1"/>
      <c r="M3860" s="155"/>
      <c r="N3860" s="1"/>
      <c r="R3860" s="73"/>
      <c r="S3860" s="1"/>
      <c r="U3860" s="313"/>
      <c r="V3860" s="1"/>
      <c r="Y3860" s="313"/>
    </row>
    <row r="3861" spans="2:26" x14ac:dyDescent="0.35">
      <c r="D3861" s="724" t="s">
        <v>6961</v>
      </c>
      <c r="E3861" s="546"/>
      <c r="G3861" s="503" t="s">
        <v>6973</v>
      </c>
      <c r="H3861" s="503"/>
      <c r="I3861" s="155"/>
      <c r="J3861" s="155"/>
      <c r="K3861" s="155"/>
      <c r="L3861" s="1"/>
      <c r="M3861" s="155"/>
      <c r="N3861" s="1"/>
      <c r="R3861" s="73"/>
      <c r="S3861" s="123" t="s">
        <v>6976</v>
      </c>
      <c r="T3861" s="123" t="s">
        <v>6975</v>
      </c>
      <c r="U3861" s="123"/>
      <c r="V3861" s="123" t="s">
        <v>5620</v>
      </c>
      <c r="W3861" s="123" t="s">
        <v>6960</v>
      </c>
      <c r="Y3861" s="333" t="str">
        <f>Y$3214</f>
        <v>pA err 25°C</v>
      </c>
      <c r="Z3861" s="333" t="str">
        <f>Z$3214</f>
        <v>pA err 75°C</v>
      </c>
    </row>
    <row r="3862" spans="2:26" x14ac:dyDescent="0.35">
      <c r="D3862" s="724"/>
      <c r="E3862" s="546"/>
      <c r="G3862" s="503"/>
      <c r="H3862" s="503"/>
      <c r="I3862" s="155"/>
      <c r="J3862" s="155"/>
      <c r="K3862" s="155"/>
      <c r="L3862" s="1"/>
      <c r="M3862" s="155"/>
      <c r="N3862" s="1"/>
      <c r="R3862" s="73"/>
      <c r="S3862" s="155">
        <f>H3848+H3851</f>
        <v>96</v>
      </c>
      <c r="T3862" s="312">
        <f>H3847+H3850</f>
        <v>15</v>
      </c>
      <c r="V3862" s="236">
        <f>(T3862/1000000)*S3862</f>
        <v>1.4400000000000001E-3</v>
      </c>
      <c r="W3862" s="13">
        <f>$H$3204</f>
        <v>22</v>
      </c>
      <c r="Y3862" s="670">
        <f>1000000000000*(V3862*0.001/(W3862*1000000))</f>
        <v>6.545454545454546E-2</v>
      </c>
      <c r="Z3862" s="13">
        <f>Y3862</f>
        <v>6.545454545454546E-2</v>
      </c>
    </row>
    <row r="3863" spans="2:26" x14ac:dyDescent="0.35">
      <c r="D3863" s="724" t="s">
        <v>6967</v>
      </c>
      <c r="E3863" s="546"/>
      <c r="G3863" s="503" t="s">
        <v>7123</v>
      </c>
      <c r="H3863" s="503"/>
      <c r="I3863" s="155"/>
      <c r="J3863" s="155"/>
      <c r="K3863" s="155"/>
      <c r="L3863" s="1"/>
      <c r="M3863" s="155"/>
      <c r="N3863" s="1"/>
      <c r="R3863" s="73"/>
      <c r="Y3863" s="15"/>
      <c r="Z3863" s="15"/>
    </row>
    <row r="3864" spans="2:26" x14ac:dyDescent="0.35">
      <c r="D3864" s="724"/>
      <c r="E3864" s="546"/>
      <c r="G3864" s="503" t="s">
        <v>7020</v>
      </c>
      <c r="H3864" s="503"/>
      <c r="I3864" s="155"/>
      <c r="J3864" s="155"/>
      <c r="K3864" s="155"/>
      <c r="L3864" s="1"/>
      <c r="M3864" s="155"/>
      <c r="N3864" s="1"/>
      <c r="R3864" s="73"/>
      <c r="S3864" s="1"/>
      <c r="U3864" s="313"/>
      <c r="V3864" s="1"/>
      <c r="Y3864" s="717"/>
      <c r="Z3864" s="15"/>
    </row>
    <row r="3865" spans="2:26" x14ac:dyDescent="0.35">
      <c r="D3865" s="724"/>
      <c r="E3865" s="546"/>
      <c r="G3865" s="503"/>
      <c r="H3865" s="503"/>
      <c r="I3865" s="155"/>
      <c r="J3865" s="155"/>
      <c r="K3865" s="155"/>
      <c r="L3865" s="1"/>
      <c r="M3865" s="155"/>
      <c r="N3865" s="1"/>
      <c r="R3865" s="73"/>
      <c r="S3865" s="1"/>
      <c r="U3865" s="313"/>
      <c r="V3865" s="1"/>
      <c r="Y3865" s="717"/>
      <c r="Z3865" s="15"/>
    </row>
    <row r="3866" spans="2:26" x14ac:dyDescent="0.35">
      <c r="D3866" s="724" t="s">
        <v>6966</v>
      </c>
      <c r="G3866" s="503" t="s">
        <v>6958</v>
      </c>
      <c r="H3866" s="503"/>
      <c r="I3866" s="155"/>
      <c r="J3866" s="155"/>
      <c r="K3866" s="155"/>
      <c r="L3866" s="1"/>
      <c r="M3866" s="155"/>
      <c r="N3866" s="1"/>
      <c r="R3866" s="73"/>
      <c r="S3866" s="1"/>
      <c r="W3866" s="123" t="s">
        <v>7019</v>
      </c>
      <c r="Y3866" s="333" t="str">
        <f>Y$3214</f>
        <v>pA err 25°C</v>
      </c>
      <c r="Z3866" s="333" t="str">
        <f>Z$3214</f>
        <v>pA err 75°C</v>
      </c>
    </row>
    <row r="3867" spans="2:26" x14ac:dyDescent="0.35">
      <c r="D3867" s="724"/>
      <c r="G3867" s="732" t="s">
        <v>6959</v>
      </c>
      <c r="H3867" s="503"/>
      <c r="I3867" s="155"/>
      <c r="J3867" s="155"/>
      <c r="K3867" s="155"/>
      <c r="L3867" s="1"/>
      <c r="M3867" s="155"/>
      <c r="N3867" s="1"/>
      <c r="R3867" s="73"/>
      <c r="S3867" s="1"/>
      <c r="V3867" s="721" t="s">
        <v>7016</v>
      </c>
      <c r="W3867" s="414">
        <f>H3853*1000</f>
        <v>10</v>
      </c>
      <c r="Y3867" s="414">
        <f>2*W3867</f>
        <v>20</v>
      </c>
      <c r="Z3867" s="414"/>
    </row>
    <row r="3868" spans="2:26" x14ac:dyDescent="0.35">
      <c r="D3868" s="724"/>
      <c r="G3868" s="733"/>
      <c r="H3868" s="503"/>
      <c r="I3868" s="155"/>
      <c r="J3868" s="155"/>
      <c r="K3868" s="155"/>
      <c r="L3868" s="1"/>
      <c r="M3868" s="155"/>
      <c r="N3868" s="1"/>
      <c r="R3868" s="73"/>
      <c r="S3868" s="1"/>
      <c r="V3868" s="721" t="s">
        <v>7017</v>
      </c>
      <c r="W3868" s="414">
        <f>H3854*1000</f>
        <v>60</v>
      </c>
      <c r="Y3868" s="717"/>
      <c r="Z3868" s="15">
        <f>2*W3868</f>
        <v>120</v>
      </c>
    </row>
    <row r="3869" spans="2:26" x14ac:dyDescent="0.35">
      <c r="D3869" s="724" t="s">
        <v>6965</v>
      </c>
      <c r="G3869" s="503" t="s">
        <v>6956</v>
      </c>
      <c r="H3869" s="503"/>
      <c r="I3869" s="155"/>
      <c r="J3869" s="155"/>
      <c r="K3869" s="155"/>
      <c r="L3869" s="1"/>
      <c r="M3869" s="155"/>
      <c r="N3869" s="1"/>
      <c r="U3869" s="313"/>
      <c r="V3869" s="1"/>
      <c r="Y3869" s="717"/>
      <c r="Z3869" s="15"/>
    </row>
    <row r="3870" spans="2:26" x14ac:dyDescent="0.35">
      <c r="D3870" s="724"/>
      <c r="G3870" s="503"/>
      <c r="H3870" s="503"/>
      <c r="I3870" s="155"/>
      <c r="J3870" s="155"/>
      <c r="K3870" s="155"/>
      <c r="L3870" s="1"/>
      <c r="M3870" s="155"/>
      <c r="N3870" s="1"/>
      <c r="V3870" s="313"/>
      <c r="W3870" s="1"/>
      <c r="Y3870" s="15"/>
      <c r="Z3870" s="718"/>
    </row>
    <row r="3871" spans="2:26" x14ac:dyDescent="0.35">
      <c r="D3871" s="724" t="s">
        <v>6968</v>
      </c>
      <c r="G3871" s="732" t="s">
        <v>7007</v>
      </c>
      <c r="H3871" s="503"/>
      <c r="I3871" s="155"/>
      <c r="J3871" s="155"/>
      <c r="K3871" s="155"/>
      <c r="L3871" s="1"/>
      <c r="M3871" s="155"/>
      <c r="N3871" s="1"/>
      <c r="V3871" s="333" t="s">
        <v>5620</v>
      </c>
      <c r="W3871" s="333" t="s">
        <v>6960</v>
      </c>
      <c r="Y3871" s="333" t="str">
        <f>Y$3214</f>
        <v>pA err 25°C</v>
      </c>
      <c r="Z3871" s="333" t="str">
        <f>Z$3214</f>
        <v>pA err 75°C</v>
      </c>
    </row>
    <row r="3872" spans="2:26" x14ac:dyDescent="0.35">
      <c r="D3872" s="724"/>
      <c r="G3872" s="503" t="s">
        <v>6957</v>
      </c>
      <c r="H3872" s="503"/>
      <c r="I3872" s="155"/>
      <c r="J3872" s="155"/>
      <c r="K3872" s="155"/>
      <c r="L3872" s="1"/>
      <c r="M3872" s="155"/>
      <c r="N3872" s="1"/>
      <c r="V3872" s="413">
        <f>H3855*10/1000</f>
        <v>0.01</v>
      </c>
      <c r="W3872" s="13">
        <f>$H$3204</f>
        <v>22</v>
      </c>
      <c r="Y3872" s="414">
        <f>1000000000000*(V3872*0.001/(W3872*1000000))</f>
        <v>0.45454545454545459</v>
      </c>
      <c r="Z3872" s="15">
        <f>Y3872</f>
        <v>0.45454545454545459</v>
      </c>
    </row>
    <row r="3873" spans="2:26" x14ac:dyDescent="0.35">
      <c r="D3873" s="724"/>
      <c r="G3873" s="503"/>
      <c r="H3873" s="503"/>
      <c r="I3873" s="155"/>
      <c r="J3873" s="155"/>
      <c r="K3873" s="155"/>
      <c r="L3873" s="1"/>
      <c r="M3873" s="155"/>
      <c r="N3873" s="1"/>
      <c r="S3873" s="413"/>
      <c r="U3873" s="414"/>
      <c r="W3873" s="444"/>
      <c r="Y3873" s="718"/>
      <c r="Z3873" s="15"/>
    </row>
    <row r="3874" spans="2:26" x14ac:dyDescent="0.35">
      <c r="D3874" s="724" t="s">
        <v>6964</v>
      </c>
      <c r="G3874" s="734" t="s">
        <v>7021</v>
      </c>
      <c r="H3874" s="735"/>
      <c r="I3874" s="155"/>
      <c r="J3874" s="155"/>
      <c r="K3874" s="155"/>
      <c r="L3874" s="1"/>
      <c r="M3874" s="155"/>
      <c r="N3874" s="1"/>
      <c r="S3874" s="333" t="s">
        <v>5618</v>
      </c>
      <c r="T3874" s="333" t="s">
        <v>1167</v>
      </c>
      <c r="U3874" s="333" t="s">
        <v>5619</v>
      </c>
      <c r="V3874" s="333" t="s">
        <v>5620</v>
      </c>
      <c r="W3874" s="516" t="s">
        <v>6960</v>
      </c>
      <c r="Y3874" s="333" t="str">
        <f>Y$3214</f>
        <v>pA err 25°C</v>
      </c>
      <c r="Z3874" s="333" t="str">
        <f>Z$3214</f>
        <v>pA err 75°C</v>
      </c>
    </row>
    <row r="3875" spans="2:26" x14ac:dyDescent="0.35">
      <c r="D3875" s="489"/>
      <c r="G3875" s="736" t="s">
        <v>7022</v>
      </c>
      <c r="H3875" s="503"/>
      <c r="I3875" s="155"/>
      <c r="J3875" s="155"/>
      <c r="K3875" s="155"/>
      <c r="L3875" s="1"/>
      <c r="M3875" s="155"/>
      <c r="N3875" s="1"/>
      <c r="R3875" s="721" t="s">
        <v>7016</v>
      </c>
      <c r="S3875" s="155">
        <f>H3856</f>
        <v>80</v>
      </c>
      <c r="T3875" s="312">
        <f>10^(S3875/20)</f>
        <v>10000</v>
      </c>
      <c r="U3875">
        <v>1.5</v>
      </c>
      <c r="V3875" s="413">
        <f>1000*U3875/T3875</f>
        <v>0.15</v>
      </c>
      <c r="W3875" s="13">
        <f t="shared" ref="W3875:W3876" si="514">$H$3204</f>
        <v>22</v>
      </c>
      <c r="Y3875" s="414">
        <f>1000000000000*(V3875*0.001/(W3875*1000000))</f>
        <v>6.8181818181818175</v>
      </c>
      <c r="Z3875" s="15"/>
    </row>
    <row r="3876" spans="2:26" x14ac:dyDescent="0.35">
      <c r="D3876" s="489"/>
      <c r="G3876" s="709"/>
      <c r="H3876" s="155"/>
      <c r="I3876" s="155"/>
      <c r="J3876" s="155"/>
      <c r="K3876" s="155"/>
      <c r="L3876" s="1"/>
      <c r="M3876" s="155"/>
      <c r="N3876" s="1"/>
      <c r="R3876" s="721" t="s">
        <v>7017</v>
      </c>
      <c r="S3876" s="155">
        <f>H3857</f>
        <v>73</v>
      </c>
      <c r="T3876" s="312">
        <f>10^(S3876/20)</f>
        <v>4466.8359215096343</v>
      </c>
      <c r="U3876">
        <v>1.5</v>
      </c>
      <c r="V3876" s="413">
        <f>1000*U3876/T3876</f>
        <v>0.33580817078525071</v>
      </c>
      <c r="W3876" s="13">
        <f t="shared" si="514"/>
        <v>22</v>
      </c>
      <c r="Y3876" s="414"/>
      <c r="Z3876" s="15">
        <f>1000000000000*(V3876*0.001/(W3876*1000000))</f>
        <v>15.264007762965942</v>
      </c>
    </row>
    <row r="3877" spans="2:26" x14ac:dyDescent="0.35">
      <c r="C3877" s="155"/>
      <c r="D3877" s="155"/>
      <c r="E3877" s="155"/>
      <c r="F3877" s="155"/>
      <c r="G3877" s="709"/>
      <c r="H3877" s="155"/>
      <c r="I3877" s="155"/>
      <c r="J3877" s="155"/>
      <c r="K3877" s="155"/>
      <c r="L3877" s="1"/>
      <c r="M3877" s="155"/>
      <c r="N3877" s="1"/>
      <c r="S3877" s="155"/>
      <c r="T3877" s="312"/>
      <c r="V3877" s="413"/>
      <c r="Y3877" s="414"/>
      <c r="Z3877" s="15"/>
    </row>
    <row r="3878" spans="2:26" s="714" customFormat="1" ht="15" thickBot="1" x14ac:dyDescent="0.4">
      <c r="B3878" s="715"/>
      <c r="C3878" s="155"/>
      <c r="D3878" s="155"/>
      <c r="E3878" s="155"/>
      <c r="F3878" s="155"/>
      <c r="G3878" s="723"/>
      <c r="H3878" s="723"/>
      <c r="I3878" s="723"/>
      <c r="J3878" s="723"/>
      <c r="K3878" s="723"/>
      <c r="L3878" s="723"/>
      <c r="M3878" s="723"/>
      <c r="N3878" s="723"/>
      <c r="O3878" s="723"/>
      <c r="P3878" s="723"/>
      <c r="Q3878" s="723"/>
      <c r="R3878" s="723"/>
      <c r="S3878" s="723"/>
      <c r="T3878" s="713"/>
      <c r="U3878" s="713"/>
      <c r="V3878" s="713"/>
      <c r="W3878" s="713"/>
      <c r="X3878" s="713"/>
      <c r="Y3878" s="716" t="str">
        <f>Y$3214</f>
        <v>pA err 25°C</v>
      </c>
      <c r="Z3878" s="716" t="str">
        <f>Z$3214</f>
        <v>pA err 75°C</v>
      </c>
    </row>
    <row r="3879" spans="2:26" ht="15" thickTop="1" x14ac:dyDescent="0.35">
      <c r="C3879" s="155"/>
      <c r="D3879" s="155"/>
      <c r="E3879" s="155"/>
      <c r="F3879" s="155"/>
      <c r="G3879" s="714" t="str">
        <f>X3879</f>
        <v>TOTAL MEASUREMENT ACCURACY, +- MAX ERROR</v>
      </c>
      <c r="L3879" s="1"/>
      <c r="M3879" s="155"/>
      <c r="N3879" s="1"/>
      <c r="W3879" s="73"/>
      <c r="X3879" s="722" t="s">
        <v>7018</v>
      </c>
      <c r="Y3879" s="720">
        <f>SUM(Y3862:Y3877)</f>
        <v>27.338181818181816</v>
      </c>
      <c r="Z3879" s="720">
        <f>SUM(Z3862:Z3877)</f>
        <v>135.78400776296593</v>
      </c>
    </row>
  </sheetData>
  <conditionalFormatting sqref="I2620:K2639 M2620:M2639 O2620:O2639">
    <cfRule type="cellIs" dxfId="1" priority="3" operator="greaterThan">
      <formula>1</formula>
    </cfRule>
  </conditionalFormatting>
  <conditionalFormatting sqref="P2620:P2639">
    <cfRule type="cellIs" dxfId="0" priority="1" operator="greaterThan">
      <formula>1</formula>
    </cfRule>
  </conditionalFormatting>
  <hyperlinks>
    <hyperlink ref="K77" r:id="rId1"/>
    <hyperlink ref="K78" r:id="rId2"/>
    <hyperlink ref="T41" r:id="rId3"/>
    <hyperlink ref="R56" r:id="rId4"/>
    <hyperlink ref="K329" r:id="rId5"/>
    <hyperlink ref="K330" r:id="rId6"/>
    <hyperlink ref="K331" r:id="rId7"/>
    <hyperlink ref="K332" r:id="rId8"/>
    <hyperlink ref="I352" r:id="rId9"/>
    <hyperlink ref="J361" r:id="rId10"/>
    <hyperlink ref="J362" r:id="rId11"/>
    <hyperlink ref="J364" r:id="rId12"/>
    <hyperlink ref="J367" r:id="rId13"/>
    <hyperlink ref="I394" r:id="rId14" location="Small_buildings_with_internal_STES_water_tanks" display="https://en.wikipedia.org/wiki/Seasonal_thermal_energy_storage - Small_buildings_with_internal_STES_water_tanks"/>
    <hyperlink ref="I395" r:id="rId15"/>
    <hyperlink ref="I396" r:id="rId16"/>
    <hyperlink ref="I397" r:id="rId17"/>
    <hyperlink ref="I398" r:id="rId18"/>
    <hyperlink ref="I399" r:id="rId19"/>
    <hyperlink ref="F443" r:id="rId20"/>
    <hyperlink ref="F444" r:id="rId21"/>
    <hyperlink ref="F445" r:id="rId22"/>
    <hyperlink ref="F446" r:id="rId23"/>
    <hyperlink ref="I404" r:id="rId24"/>
    <hyperlink ref="I405" r:id="rId25"/>
    <hyperlink ref="I406" r:id="rId26"/>
    <hyperlink ref="F501" r:id="rId27"/>
    <hyperlink ref="F502" r:id="rId28"/>
    <hyperlink ref="K44" r:id="rId29"/>
    <hyperlink ref="M444" r:id="rId30"/>
    <hyperlink ref="M439" r:id="rId31"/>
    <hyperlink ref="O439" r:id="rId32"/>
    <hyperlink ref="I400" r:id="rId33" location="Storage" display="https://www.builditsolar.com/Projects/SpaceHeating/Components.htm - Storage"/>
    <hyperlink ref="O552" r:id="rId34"/>
    <hyperlink ref="O558" r:id="rId35"/>
    <hyperlink ref="O553" r:id="rId36"/>
    <hyperlink ref="O554" r:id="rId37"/>
    <hyperlink ref="O560" r:id="rId38"/>
    <hyperlink ref="O561" r:id="rId39"/>
    <hyperlink ref="O562" r:id="rId40"/>
    <hyperlink ref="O563" r:id="rId41"/>
    <hyperlink ref="O555" r:id="rId42"/>
    <hyperlink ref="O559" r:id="rId43"/>
    <hyperlink ref="O564" r:id="rId44"/>
    <hyperlink ref="O565" r:id="rId45"/>
    <hyperlink ref="O566" r:id="rId46"/>
    <hyperlink ref="O569" r:id="rId47"/>
    <hyperlink ref="O574" r:id="rId48"/>
    <hyperlink ref="O578" r:id="rId49"/>
    <hyperlink ref="O579" r:id="rId50"/>
    <hyperlink ref="O575" r:id="rId51"/>
    <hyperlink ref="O576" r:id="rId52"/>
    <hyperlink ref="O577" r:id="rId53"/>
    <hyperlink ref="O582" r:id="rId54"/>
    <hyperlink ref="O583" r:id="rId55"/>
    <hyperlink ref="O572" r:id="rId56"/>
    <hyperlink ref="O573" r:id="rId57"/>
    <hyperlink ref="O1031" r:id="rId58"/>
    <hyperlink ref="O1037" r:id="rId59"/>
    <hyperlink ref="P1051" r:id="rId60"/>
    <hyperlink ref="T1060" r:id="rId61" location="product-overview" display="https://www.analog.com/en/products/adr3412.html - product-overview"/>
    <hyperlink ref="T1062" r:id="rId62"/>
    <hyperlink ref="Z1072" r:id="rId63" display="http://www.ti.com/lit/ds/symlink/lmv324a.pdf"/>
    <hyperlink ref="T1243" r:id="rId64"/>
    <hyperlink ref="T1261" r:id="rId65"/>
    <hyperlink ref="P1273" r:id="rId66"/>
    <hyperlink ref="Z1116" r:id="rId67"/>
    <hyperlink ref="Z1130" r:id="rId68"/>
    <hyperlink ref="Z1132" r:id="rId69"/>
    <hyperlink ref="T2382" r:id="rId70"/>
    <hyperlink ref="R1161" r:id="rId71"/>
    <hyperlink ref="X1161" r:id="rId72" location="p1690=Yes" display="http://www.ti.com/interface/can-lin/products.html?pqs=paqs&amp;familyid=540 - p1690=Yes"/>
    <hyperlink ref="R1162" r:id="rId73"/>
    <hyperlink ref="AA1161" r:id="rId74"/>
    <hyperlink ref="AE1161" r:id="rId75"/>
    <hyperlink ref="R1164" r:id="rId76" display="https://www.analog.com/en/adm3050e"/>
    <hyperlink ref="Z1084" r:id="rId77"/>
    <hyperlink ref="Z1088" r:id="rId78"/>
    <hyperlink ref="J3505" r:id="rId79"/>
    <hyperlink ref="J3506" r:id="rId80"/>
    <hyperlink ref="J3507" r:id="rId81"/>
    <hyperlink ref="AC1079" r:id="rId82"/>
    <hyperlink ref="Z1079" r:id="rId83"/>
    <hyperlink ref="AJ1178" r:id="rId84"/>
    <hyperlink ref="AJ1179" r:id="rId85"/>
    <hyperlink ref="AJ1180" r:id="rId86" location="p726max=76;110&amp;p773=100;128;200;300;Adjustable;500&amp;sort=p1130;asc"/>
    <hyperlink ref="S1178" r:id="rId87"/>
    <hyperlink ref="S1179" r:id="rId88"/>
    <hyperlink ref="U1178" r:id="rId89"/>
    <hyperlink ref="U1179" r:id="rId90"/>
    <hyperlink ref="S1375" r:id="rId91"/>
    <hyperlink ref="S1374" r:id="rId92"/>
    <hyperlink ref="Q1229" r:id="rId93" display="https://www.digikey.com/product-detail/en/taiwan-semiconductor-corporation/1SMB5947-M4G/1SMB5947M4G-ND/7367885"/>
    <hyperlink ref="R1186" r:id="rId94"/>
    <hyperlink ref="R1201" r:id="rId95"/>
    <hyperlink ref="R1187" r:id="rId96"/>
    <hyperlink ref="R1188" r:id="rId97"/>
    <hyperlink ref="R1189" r:id="rId98"/>
    <hyperlink ref="P1275" r:id="rId99"/>
    <hyperlink ref="R1202" r:id="rId100"/>
    <hyperlink ref="P1330" r:id="rId101"/>
    <hyperlink ref="P1329" r:id="rId102"/>
    <hyperlink ref="M587" r:id="rId103"/>
    <hyperlink ref="M1983" r:id="rId104"/>
    <hyperlink ref="M588" r:id="rId105"/>
    <hyperlink ref="M589" r:id="rId106"/>
    <hyperlink ref="M590" r:id="rId107"/>
    <hyperlink ref="M591" r:id="rId108"/>
    <hyperlink ref="P591" r:id="rId109" display="https://www.solaris-shop.com/content/Longi LR6-60HPB-305M Specs.pdf"/>
    <hyperlink ref="P1322" r:id="rId110"/>
    <hyperlink ref="P1324" r:id="rId111"/>
    <hyperlink ref="P1332" r:id="rId112"/>
    <hyperlink ref="P1333" r:id="rId113"/>
    <hyperlink ref="R1197" r:id="rId114"/>
    <hyperlink ref="AB1200" r:id="rId115"/>
    <hyperlink ref="M769" r:id="rId116"/>
    <hyperlink ref="M772" r:id="rId117"/>
    <hyperlink ref="M773" r:id="rId118"/>
    <hyperlink ref="M774" r:id="rId119"/>
    <hyperlink ref="M776" r:id="rId120"/>
    <hyperlink ref="Q1340" r:id="rId121"/>
    <hyperlink ref="Q1349" r:id="rId122"/>
    <hyperlink ref="S1406" r:id="rId123"/>
    <hyperlink ref="M771" r:id="rId124"/>
    <hyperlink ref="Q1348" r:id="rId125"/>
    <hyperlink ref="Z1120" r:id="rId126" display="https://www.digikey.com/product-detail/en/on-semiconductor/NLAST4599DTT1G/NLAST4599DTT1GOSTR-ND/921489"/>
    <hyperlink ref="Z1128" r:id="rId127"/>
    <hyperlink ref="Z1141" r:id="rId128"/>
    <hyperlink ref="S1180" r:id="rId129"/>
    <hyperlink ref="AH1374" r:id="rId130"/>
    <hyperlink ref="S1543" r:id="rId131"/>
    <hyperlink ref="P1664" r:id="rId132"/>
    <hyperlink ref="F1628" r:id="rId133"/>
    <hyperlink ref="F1630" r:id="rId134"/>
    <hyperlink ref="O1657" r:id="rId135"/>
    <hyperlink ref="N1668" r:id="rId136"/>
    <hyperlink ref="F1631" r:id="rId137"/>
    <hyperlink ref="F1629" r:id="rId138"/>
    <hyperlink ref="R1675" r:id="rId139"/>
    <hyperlink ref="R1676" r:id="rId140"/>
    <hyperlink ref="R1664" r:id="rId141"/>
    <hyperlink ref="R1678" r:id="rId142"/>
    <hyperlink ref="F1627" r:id="rId143"/>
    <hyperlink ref="R1682" r:id="rId144"/>
    <hyperlink ref="R1681" r:id="rId145"/>
    <hyperlink ref="R1644" r:id="rId146"/>
    <hyperlink ref="R1648" r:id="rId147"/>
    <hyperlink ref="R1647" r:id="rId148"/>
    <hyperlink ref="Q1369" r:id="rId149"/>
    <hyperlink ref="Q1370" r:id="rId150"/>
    <hyperlink ref="Q1482" r:id="rId151"/>
    <hyperlink ref="M781" r:id="rId152"/>
    <hyperlink ref="R1584" r:id="rId153"/>
    <hyperlink ref="R1585" r:id="rId154"/>
    <hyperlink ref="M782" r:id="rId155"/>
    <hyperlink ref="M783" r:id="rId156" display="https://www.egr.msu.edu/classes/ece480/capstone/fall14/group08/Documents/How to Implement a MOSFET with a Gate Driver-1.pdf"/>
    <hyperlink ref="M784" r:id="rId157"/>
    <hyperlink ref="M785" r:id="rId158"/>
    <hyperlink ref="M786" r:id="rId159"/>
    <hyperlink ref="M787" r:id="rId160" display="https://toshiba.semicon-storage.com/info/docget.jsp?did=59460"/>
    <hyperlink ref="M788" r:id="rId161" location="imgrc=mHQnm2zdCFjaaM:&amp;vet=1" display="https://www.google.com/search?q=high+side+mosfet+p+channel+gate+driver&amp;rlz=1C1CHBF_enUS816US816&amp;sxsrf=ACYBGNQLQrGMvrsv5671Oa4Zi3-ObunOgg:1577927091455&amp;tbm=isch&amp;source=iu&amp;ictx=1&amp;fir=UL2TrbGHVzgkrM%253A%252CwAPO6DnwMxsFAM%252C_&amp;vet=1&amp;usg=AI4_-kQbHwdrw3cgAgjTjfxsI6L0uKYsuA&amp;sa=X&amp;ved=2ahUKEwjO3JG-3OPmAhVQn-AKHQZ-CSEQ9QEwAnoECAkQDA - imgrc=mHQnm2zdCFjaaM:&amp;vet=1"/>
    <hyperlink ref="M789" r:id="rId162" display="https://www.eetimes.com/a-primer-on-high-side-fet-load-switches-part-1-of-2/"/>
    <hyperlink ref="M790" r:id="rId163"/>
    <hyperlink ref="Z1456" r:id="rId164"/>
    <hyperlink ref="M1988" r:id="rId165"/>
    <hyperlink ref="M610" r:id="rId166"/>
    <hyperlink ref="M621" r:id="rId167"/>
    <hyperlink ref="M622" r:id="rId168" display="https://www.solaris-shop.com/content/SolarEdge Power Optimizer Specs.pdf"/>
    <hyperlink ref="M624" r:id="rId169"/>
    <hyperlink ref="M611" r:id="rId170"/>
    <hyperlink ref="M612" r:id="rId171"/>
    <hyperlink ref="M613" r:id="rId172"/>
    <hyperlink ref="M614" r:id="rId173"/>
    <hyperlink ref="M623" r:id="rId174"/>
    <hyperlink ref="M626" r:id="rId175"/>
    <hyperlink ref="M627" r:id="rId176"/>
    <hyperlink ref="M634" r:id="rId177" display="http://www.b-solar.com/Pictures/Monofacial TG18.5BR_D200.pdf"/>
    <hyperlink ref="M635" r:id="rId178"/>
    <hyperlink ref="M636" r:id="rId179"/>
    <hyperlink ref="M645" r:id="rId180" display="https://repository.asu.edu/attachments/194781/content/Flexible Modules Using_2016.pdf"/>
    <hyperlink ref="M646" r:id="rId181"/>
    <hyperlink ref="M640" r:id="rId182"/>
    <hyperlink ref="M641" r:id="rId183"/>
    <hyperlink ref="M642" display="https://www.amazon.com/dp/B07HK1W7V2/ref=sspa_dk_detail_5?psc=1&amp;pd_rd_i=B07HK1W7V2&amp;spLa=ZW5jcnlwdGVkUXVhbGlmaWVyPUExRUpJUkNRNFRLSk82JmVuY3J5cHRlZElkPUEwNTgyNzI1M05ZNENaUEM5Skc5UiZlbmNyeXB0ZWRBZElkPUEwMzMxMTQ4MkFJRlRBUFhaRzdYMCZ3aWRnZXROYW1lPXNwX2RldGFpbCZ"/>
    <hyperlink ref="F450" r:id="rId184"/>
    <hyperlink ref="K452" r:id="rId185"/>
    <hyperlink ref="M440" r:id="rId186"/>
    <hyperlink ref="M728" r:id="rId187"/>
    <hyperlink ref="M729" r:id="rId188"/>
    <hyperlink ref="M730" r:id="rId189"/>
    <hyperlink ref="M1996" r:id="rId190"/>
    <hyperlink ref="M731" r:id="rId191"/>
    <hyperlink ref="M732" r:id="rId192"/>
    <hyperlink ref="M733" r:id="rId193" display="https://media.digikey.com/pdf/Data Sheets/Bergquist PDFs/ThermalCladSelectionGuide.pdf"/>
    <hyperlink ref="M822" r:id="rId194"/>
    <hyperlink ref="Q1518" r:id="rId195"/>
    <hyperlink ref="M791" r:id="rId196"/>
    <hyperlink ref="Q1519" r:id="rId197"/>
    <hyperlink ref="M823" r:id="rId198"/>
    <hyperlink ref="M777" r:id="rId199"/>
    <hyperlink ref="T1503" r:id="rId200"/>
    <hyperlink ref="T1504" r:id="rId201"/>
    <hyperlink ref="M819" r:id="rId202"/>
    <hyperlink ref="M870" r:id="rId203"/>
    <hyperlink ref="M871" r:id="rId204"/>
    <hyperlink ref="R1567" r:id="rId205"/>
    <hyperlink ref="M744" r:id="rId206"/>
    <hyperlink ref="M885" r:id="rId207" location="p238max=41;100" display="http://www.ti.com/power-management/non-isolated-dc-dc-switching-regulators/step-up-boost/products.html - p238max=41;100"/>
    <hyperlink ref="M886" r:id="rId208"/>
    <hyperlink ref="M887" r:id="rId209"/>
    <hyperlink ref="M739" r:id="rId210" display="https://www.petervis.com/electronics guides/voltage-regulator-using-transistor/voltage-regulator-using-transistor.html"/>
    <hyperlink ref="M740" r:id="rId211"/>
    <hyperlink ref="M741" r:id="rId212"/>
    <hyperlink ref="Z1428" r:id="rId213"/>
    <hyperlink ref="M875" r:id="rId214"/>
    <hyperlink ref="M889" r:id="rId215"/>
    <hyperlink ref="M826" r:id="rId216"/>
    <hyperlink ref="M827" r:id="rId217"/>
    <hyperlink ref="M828" r:id="rId218"/>
    <hyperlink ref="Z1441" r:id="rId219" display="https://www.digikey.com/product-detail/en/diodes-incorporated/DGD2190MS8-13/DGD2190MS8-13-ND/7666817"/>
    <hyperlink ref="R1569" r:id="rId220"/>
    <hyperlink ref="R893" r:id="rId221"/>
    <hyperlink ref="M893" r:id="rId222"/>
    <hyperlink ref="M894" r:id="rId223"/>
    <hyperlink ref="M821" r:id="rId224" display="https://en.wikipedia.org/wiki/Buck%E2%80%93boost_converter"/>
    <hyperlink ref="Z1091" r:id="rId225"/>
    <hyperlink ref="Z1090" r:id="rId226"/>
    <hyperlink ref="R1581" r:id="rId227"/>
    <hyperlink ref="M958" r:id="rId228"/>
    <hyperlink ref="M959" r:id="rId229"/>
    <hyperlink ref="M960" r:id="rId230"/>
    <hyperlink ref="J3676" r:id="rId231"/>
    <hyperlink ref="M736" r:id="rId232"/>
    <hyperlink ref="Z1099" r:id="rId233"/>
    <hyperlink ref="J3677" r:id="rId234"/>
    <hyperlink ref="Z1092" r:id="rId235"/>
    <hyperlink ref="M618" r:id="rId236"/>
    <hyperlink ref="J3503" r:id="rId237"/>
    <hyperlink ref="M902" r:id="rId238" location="technicaldocuments" display="http://www.ti.com/tool/TIDM-SOLAR-DCDC?keyMatch=SOLAR&amp;tisearch=Search-EN-everything - technicaldocuments"/>
    <hyperlink ref="R902" r:id="rId239"/>
    <hyperlink ref="U902" r:id="rId240"/>
    <hyperlink ref="X902" r:id="rId241"/>
    <hyperlink ref="M829" r:id="rId242"/>
    <hyperlink ref="Q1355" r:id="rId243" display="https://www.digikey.com/products/en/inductors-coils-chokes/fixed-inductors/71?k=39h471&amp;k=&amp;pkeyword=39h471&amp;sv=0&amp;pv1989=0&amp;sf=0&amp;quantity=&amp;ColumnSort=0&amp;page=1&amp;pageSize=25"/>
    <hyperlink ref="M905" r:id="rId244"/>
    <hyperlink ref="U905" r:id="rId245" display="http://www.ti.com/lit/an/sprabt0/sprabt0.pdf"/>
    <hyperlink ref="M906" r:id="rId246"/>
    <hyperlink ref="R905" r:id="rId247"/>
    <hyperlink ref="U906" r:id="rId248"/>
    <hyperlink ref="X906" r:id="rId249"/>
    <hyperlink ref="R906" r:id="rId250"/>
    <hyperlink ref="M935" r:id="rId251"/>
    <hyperlink ref="M937" r:id="rId252"/>
    <hyperlink ref="T940" r:id="rId253"/>
    <hyperlink ref="M942" r:id="rId254"/>
    <hyperlink ref="M759" r:id="rId255"/>
    <hyperlink ref="Q1356" r:id="rId256"/>
    <hyperlink ref="L1000" r:id="rId257"/>
    <hyperlink ref="M753" r:id="rId258"/>
    <hyperlink ref="S1376" r:id="rId259"/>
    <hyperlink ref="M755" r:id="rId260" display="http://www.calculatoredge.com/electronics/ch pi low pass.htm"/>
    <hyperlink ref="M756" r:id="rId261"/>
    <hyperlink ref="M594" r:id="rId262"/>
    <hyperlink ref="M754" r:id="rId263"/>
    <hyperlink ref="W1330" r:id="rId264"/>
    <hyperlink ref="Z1330" r:id="rId265"/>
    <hyperlink ref="M961" r:id="rId266"/>
    <hyperlink ref="L1004" r:id="rId267"/>
    <hyperlink ref="L1005" r:id="rId268"/>
    <hyperlink ref="M897" r:id="rId269"/>
    <hyperlink ref="M670" r:id="rId270"/>
    <hyperlink ref="M671" r:id="rId271"/>
    <hyperlink ref="M672" r:id="rId272" display="https://s3.amazonaws.com/academia.edu.documents/43830294/Micro-invertersPromising_solutions_in_so20160317-12140-1wk0s9h.pdf?response-content-disposition=inline%3B%20filename%3DMicro-inverters_Promising_solutions_in_s.pdf&amp;X-Amz-Algorithm=AWS4-HMAC-SHA256&amp;X-Amz-Credential=AKIAIWOWYYGZ2Y53UL3A%2F20200112%2Fus-east-1%2Fs3%2Faws4_request&amp;X-Amz-Date=20200112T223915Z&amp;X-Amz-Expires=3600&amp;X-Amz-SignedHeaders=host&amp;X-Amz-Signature=521fa35f5b602e752a49326a6af1184c5803eb00ebe69cd05eb22db1c718d75b"/>
    <hyperlink ref="M673" r:id="rId273" display="https://www.researchgate.net/profile/Souhib_Harb/publication/271553566_Microinverter_and_string_inverter_grid-connected_photovoltaic_system_-_A_comprehensive_study/links/5594cf0d08ae793d1379a158/Microinverter-and-string-inverter-grid-connected-photovoltaic-system-A-comprehensive-study.pdf"/>
    <hyperlink ref="M674" r:id="rId274"/>
    <hyperlink ref="M676" r:id="rId275"/>
    <hyperlink ref="M680" r:id="rId276"/>
    <hyperlink ref="M692" r:id="rId277"/>
    <hyperlink ref="M690" r:id="rId278"/>
    <hyperlink ref="M693" r:id="rId279"/>
    <hyperlink ref="S693" r:id="rId280"/>
    <hyperlink ref="M694" r:id="rId281"/>
    <hyperlink ref="M695" r:id="rId282"/>
    <hyperlink ref="M696" r:id="rId283"/>
    <hyperlink ref="M691" r:id="rId284"/>
    <hyperlink ref="M681" r:id="rId285"/>
    <hyperlink ref="M682" r:id="rId286"/>
    <hyperlink ref="M683" r:id="rId287"/>
    <hyperlink ref="M684" r:id="rId288"/>
    <hyperlink ref="M687" r:id="rId289"/>
    <hyperlink ref="M685" r:id="rId290"/>
    <hyperlink ref="M686" r:id="rId291"/>
    <hyperlink ref="M824" r:id="rId292"/>
    <hyperlink ref="Q1230" r:id="rId293"/>
    <hyperlink ref="M698" r:id="rId294"/>
    <hyperlink ref="M903" r:id="rId295" display="https://www.digikey.my/reference-designs/en/ac-dc-and-dc-dc-conversion/dc-dc-smps-single-output/1768"/>
    <hyperlink ref="L1024" r:id="rId296"/>
    <hyperlink ref="L1025" r:id="rId297" display="http://e2e.ti.com/support/power-management/f/196/p/571563/2096180?pi320098=2"/>
    <hyperlink ref="L1019" r:id="rId298"/>
    <hyperlink ref="Q1024" r:id="rId299"/>
    <hyperlink ref="L1020" r:id="rId300"/>
    <hyperlink ref="L1021" r:id="rId301"/>
    <hyperlink ref="L1022" r:id="rId302"/>
    <hyperlink ref="Z1427" r:id="rId303" display="http://www.ti.com/product/UCC27712"/>
    <hyperlink ref="R1192" r:id="rId304"/>
    <hyperlink ref="R1193" r:id="rId305"/>
    <hyperlink ref="M968" r:id="rId306"/>
    <hyperlink ref="R1208" r:id="rId307" display="https://www.digikey.com/product-detail/en/on-semiconductor/BAS16LT3G/BAS16LT3GOSTR-ND/1475465"/>
    <hyperlink ref="V1193" r:id="rId308"/>
    <hyperlink ref="M967" r:id="rId309"/>
    <hyperlink ref="M805" r:id="rId310"/>
    <hyperlink ref="M806" r:id="rId311"/>
    <hyperlink ref="V1376" r:id="rId312"/>
    <hyperlink ref="M962" r:id="rId313"/>
    <hyperlink ref="M963" r:id="rId314"/>
    <hyperlink ref="Y3806" r:id="rId315"/>
    <hyperlink ref="S1383" r:id="rId316"/>
    <hyperlink ref="S1384" r:id="rId317"/>
    <hyperlink ref="S1385" r:id="rId318"/>
    <hyperlink ref="Y3807" r:id="rId319"/>
    <hyperlink ref="M811" r:id="rId320"/>
    <hyperlink ref="M2553" r:id="rId321"/>
    <hyperlink ref="M2555" r:id="rId322" display="http://www.ti.com/lit/an/slva390/slva390.pdf"/>
    <hyperlink ref="J3678" r:id="rId323"/>
    <hyperlink ref="AD1120" r:id="rId324"/>
    <hyperlink ref="M814" r:id="rId325"/>
    <hyperlink ref="Q1511" r:id="rId326"/>
    <hyperlink ref="M795" r:id="rId327"/>
    <hyperlink ref="M796" r:id="rId328"/>
    <hyperlink ref="M797" r:id="rId329"/>
    <hyperlink ref="M798" r:id="rId330"/>
    <hyperlink ref="M799" r:id="rId331"/>
    <hyperlink ref="M800" r:id="rId332"/>
    <hyperlink ref="M780" r:id="rId333"/>
    <hyperlink ref="R1485" r:id="rId334"/>
    <hyperlink ref="V1485" r:id="rId335"/>
    <hyperlink ref="S1388" r:id="rId336"/>
    <hyperlink ref="S1389" r:id="rId337"/>
    <hyperlink ref="Q1231" r:id="rId338" display="https://www.digikey.com/product-detail/en/on-semiconductor/BZX84C15LT3G/BZX84C15LT3GOSTR-ND/1476313"/>
    <hyperlink ref="M748" r:id="rId339"/>
    <hyperlink ref="M745" r:id="rId340"/>
    <hyperlink ref="P745" r:id="rId341"/>
    <hyperlink ref="R745" r:id="rId342"/>
    <hyperlink ref="R1595" r:id="rId343"/>
    <hyperlink ref="W1578" r:id="rId344"/>
    <hyperlink ref="R1596" r:id="rId345"/>
    <hyperlink ref="Q1303" r:id="rId346"/>
    <hyperlink ref="U2750" r:id="rId347"/>
    <hyperlink ref="P1325" r:id="rId348" display="https://www.digikey.com/product-detail/en/samsung-electro-mechanics/CL21A475KLCLQNC/1276-6722-2-ND/5961206"/>
    <hyperlink ref="X1320" r:id="rId349" display="http://ksim.kemet.com/Ceramic/CeramicCapSelection.aspx"/>
    <hyperlink ref="Q1359" r:id="rId350"/>
    <hyperlink ref="Q1363" r:id="rId351"/>
    <hyperlink ref="G2330" r:id="rId352"/>
    <hyperlink ref="P1312" r:id="rId353" display="https://www.digikey.com/product-detail/en/samsung-electro-mechanics/CL10B222KB8NNND/CL10B222KB8NNND-ND/3894289"/>
    <hyperlink ref="P1318" r:id="rId354" display="https://www.digikey.com/product-detail/en/tdk-corporation/CGA3E2X7R2A222K080AA/445-5808-2-ND/2443286"/>
    <hyperlink ref="R1267" r:id="rId355" display="https://www.digikey.com/product-detail/en/stackpole-electronics-inc/RMCF0805FT10K0/RMCF0805FT10K0TR-ND/1760676"/>
    <hyperlink ref="L2318" r:id="rId356"/>
    <hyperlink ref="R1614" r:id="rId357"/>
    <hyperlink ref="J3379" r:id="rId358"/>
    <hyperlink ref="Z1103" r:id="rId359"/>
    <hyperlink ref="Z1104" r:id="rId360" display="https://www.digikey.com/product-detail/en/microchip-technology/MCP6N11T-010E-MNY/MCP6N11T-010E-MNYTR-ND/2775791"/>
    <hyperlink ref="Z1105" r:id="rId361"/>
    <hyperlink ref="U1281" r:id="rId362"/>
    <hyperlink ref="U1282" r:id="rId363" display="http://www.vishay.com/docs/28751/acasprec.pdf"/>
    <hyperlink ref="U1283" r:id="rId364"/>
    <hyperlink ref="Z1144" r:id="rId365" display="https://www.digikey.com/product-detail/en/toshiba-semiconductor-and-storage/74VHC4052AFT-BJ/74VHC4052AFT-BJ-TR-ND/7394042"/>
    <hyperlink ref="M763" r:id="rId366"/>
    <hyperlink ref="U1286" r:id="rId367"/>
    <hyperlink ref="J3679" r:id="rId368"/>
    <hyperlink ref="Z1075" r:id="rId369"/>
    <hyperlink ref="M969" r:id="rId370"/>
    <hyperlink ref="J3680" r:id="rId371"/>
    <hyperlink ref="J3508" r:id="rId372"/>
    <hyperlink ref="M970" r:id="rId373"/>
    <hyperlink ref="G1112" r:id="rId374"/>
    <hyperlink ref="Z1148" r:id="rId375" display="https://www.digikey.com/product-detail/en/texas-instruments/SN74LV4051ADR/296-3827-2-ND/374746"/>
    <hyperlink ref="M971" r:id="rId376"/>
    <hyperlink ref="S1407" r:id="rId377"/>
    <hyperlink ref="M801" r:id="rId378"/>
    <hyperlink ref="M2404" r:id="rId379"/>
    <hyperlink ref="M2405" r:id="rId380"/>
    <hyperlink ref="M2406" r:id="rId381"/>
    <hyperlink ref="M2407" r:id="rId382"/>
    <hyperlink ref="O2407" r:id="rId383"/>
    <hyperlink ref="L2418" r:id="rId384"/>
    <hyperlink ref="M2408" r:id="rId385"/>
    <hyperlink ref="L2416" r:id="rId386"/>
    <hyperlink ref="T2445" r:id="rId387"/>
    <hyperlink ref="I2450" r:id="rId388" location="search?vinmin=-72,7.77&amp;vinmax=5.5&amp;iout=0.09999999999999998&amp;vout=12&amp;isolated=Isolated&amp;intype=DC" display="http://www.ti.com/reference-designs/index.html - search?vinmin=-72,7.77&amp;vinmax=5.5&amp;iout=0.09999999999999998&amp;vout=12&amp;isolated=Isolated&amp;intype=DC"/>
    <hyperlink ref="T2383" r:id="rId389"/>
    <hyperlink ref="S2399" r:id="rId390"/>
    <hyperlink ref="S2400" r:id="rId391" display="https://www.digikey.com/product-detail/en/monolithic-power-systems-inc/MPM3805GQB-33-Z/1589-1986-2-ND/5292918"/>
    <hyperlink ref="Q1360" r:id="rId392"/>
    <hyperlink ref="T2385" r:id="rId393"/>
    <hyperlink ref="T2386" r:id="rId394"/>
    <hyperlink ref="T2387" r:id="rId395"/>
    <hyperlink ref="T2388" r:id="rId396" display="https://www.digikey.com/product-detail/en/recom-power/R1SE-0505-R/945-1659-2-ND/3593408"/>
    <hyperlink ref="M596" r:id="rId397"/>
    <hyperlink ref="J2359" r:id="rId398"/>
    <hyperlink ref="P1314" r:id="rId399"/>
    <hyperlink ref="P1315" r:id="rId400"/>
    <hyperlink ref="Q1350" r:id="rId401"/>
    <hyperlink ref="P1309" r:id="rId402" display="https://www.digikey.com/product-detail/en/samsung-electro-mechanics/CL10A105KA8NNNC/1276-1102-2-ND/3886760"/>
    <hyperlink ref="T1505" r:id="rId403" display="https://www.digikey.com/product-detail/en/on-semiconductor/LMV393DMR2G/LMV393DMR2GOSTR-ND/1973674"/>
    <hyperlink ref="R1167" r:id="rId404"/>
    <hyperlink ref="M2045" r:id="rId405"/>
    <hyperlink ref="Q1498" r:id="rId406" display="https://media.digikey.com/pdf/Data Sheets/Lite-On PDFs/LTV-816_826_846.pdf"/>
    <hyperlink ref="R1606" r:id="rId407"/>
    <hyperlink ref="S1182" r:id="rId408"/>
    <hyperlink ref="U1498" r:id="rId409"/>
    <hyperlink ref="Q1500" r:id="rId410" display="https://www.digikey.com/products/en/isolators/optoisolators-transistor-photovoltaic-output/903?k=&amp;pkeyword=&amp;sv=0&amp;pv598=67627&amp;sf=0&amp;FV=7%7C1%2C1989%7C0%2Cii2%7C2093%2C-8%7C903%2C598%7C181806%2C598%7C181808%2C598%7C212934%2C598%7C236328%2C598%7C236330%2C598%7C255645%2C598%7C255647%2C598%7C67627%2C598%7C68174&amp;quantity=&amp;ColumnSort=1000011&amp;page=1&amp;pageSize=25"/>
    <hyperlink ref="U1500" r:id="rId411"/>
    <hyperlink ref="R1607" r:id="rId412"/>
    <hyperlink ref="R1488" r:id="rId413"/>
    <hyperlink ref="R1489" r:id="rId414"/>
    <hyperlink ref="R1209" r:id="rId415"/>
    <hyperlink ref="R1486" r:id="rId416"/>
    <hyperlink ref="R1487" r:id="rId417"/>
    <hyperlink ref="M2044" r:id="rId418" display="https://www.infineon.com/cms/en/product/microcontroller/32-bit-industrial-microcontroller-based-on-arm-cortex-m/32-bit-xmc4000-industrial-microcontroller-arm-cortex-m4/xmc4108-q48k64-ba/"/>
    <hyperlink ref="M2046" r:id="rId419"/>
    <hyperlink ref="N2107" r:id="rId420"/>
    <hyperlink ref="M2090" r:id="rId421"/>
    <hyperlink ref="M2098" r:id="rId422"/>
    <hyperlink ref="M2050" r:id="rId423"/>
    <hyperlink ref="M2049" r:id="rId424" display="https://www.infineon.com/dgdl/Infineon-XMC4000_XMC1000_ Introduction_to_Digital_Power_Conversion-AN-v01_00-EN.pdf?fileId=5546d4624b0b249c014b497c0c33089e"/>
    <hyperlink ref="N2109" r:id="rId425"/>
    <hyperlink ref="J2109" r:id="rId426"/>
    <hyperlink ref="R2098" r:id="rId427"/>
    <hyperlink ref="N2110" r:id="rId428"/>
    <hyperlink ref="M2051" r:id="rId429"/>
    <hyperlink ref="M2099" r:id="rId430" display="https://www.infineon.com/dgdlc/en?dcId=8a8181663431cb50013431cb500b0000&amp;downloadTitle=Infineon-PCB_Sources_Eagle_XMC42DP_CC-PCB-v01_00-EN.zip&amp;download=L2RnZGwvSW5maW5lb24tUENCX1NvdXJjZXNfRWFnbGVfWE1DNDJEUF9DQy1QQ0ItdjAxXzAwLUVOLnppcD9maWxlSWQ9NTU0NmQ0NjI1MTg1ZTBlMjAxNTE4YzNiMWMwNDNlOTk="/>
    <hyperlink ref="M2087" r:id="rId431"/>
    <hyperlink ref="M2091" r:id="rId432"/>
    <hyperlink ref="M2100" r:id="rId433" location="!term=KIT_XMC_DP_EXP_01&amp;view=all" display="https://www.infineon.com/cms/en/search.html - !term=KIT_XMC_DP_EXP_01&amp;view=all"/>
    <hyperlink ref="M2101" r:id="rId434" location="!term=KIT_XMC_DP_EXP_01&amp;view=all" display="https://www.infineon.com/cms/en/search.html - !term=KIT_XMC_DP_EXP_01&amp;view=all"/>
    <hyperlink ref="M2102" r:id="rId435" location="!term=KIT_XMC_DP_EXP_01&amp;view=all" display="https://www.infineon.com/cms/en/search.html - !term=KIT_XMC_DP_EXP_01&amp;view=all"/>
    <hyperlink ref="M2092" r:id="rId436"/>
    <hyperlink ref="M2094" r:id="rId437"/>
    <hyperlink ref="M2093" r:id="rId438"/>
    <hyperlink ref="M2103" r:id="rId439" location="!term=KIT_XMC_DP_EXP_01&amp;view=all" display="https://www.infineon.com/cms/en/search.html - !term=KIT_XMC_DP_EXP_01&amp;view=all"/>
    <hyperlink ref="M2070" r:id="rId440"/>
    <hyperlink ref="M2061" r:id="rId441"/>
    <hyperlink ref="M2068" r:id="rId442"/>
    <hyperlink ref="M2052" r:id="rId443"/>
    <hyperlink ref="M2053" r:id="rId444"/>
    <hyperlink ref="M2054" r:id="rId445"/>
    <hyperlink ref="M2058" r:id="rId446"/>
    <hyperlink ref="M2057" r:id="rId447"/>
    <hyperlink ref="M2059" r:id="rId448"/>
    <hyperlink ref="M2060" r:id="rId449"/>
    <hyperlink ref="M2062" r:id="rId450"/>
    <hyperlink ref="M2064" r:id="rId451" display="https://www.infineon.com/dgdl/Infineon-Peripheral - XMC4000 Versatile Analog to Digital Converter (VADC)-TR-v01_00-EN.pdf?fileId=5546d462580663ef01582a3df0783e2f"/>
    <hyperlink ref="M2071" r:id="rId452" display="https://www.infineon.com/dgdl/Infineon-Tooling - XMC4000 boot mode options-TR-v01_00-EN.pdf?fileId=5546d4625696ed7601569d06286314d8"/>
    <hyperlink ref="M2072" r:id="rId453"/>
    <hyperlink ref="M2089" r:id="rId454"/>
    <hyperlink ref="U1369" r:id="rId455"/>
    <hyperlink ref="I2205" r:id="rId456"/>
    <hyperlink ref="I2206" r:id="rId457"/>
    <hyperlink ref="I2203" r:id="rId458" location="_FD13D8A25CBB47BD83F143E5B55DBC75" display="http://www.latticesemi.com/latticediamond - _FD13D8A25CBB47BD83F143E5B55DBC75"/>
    <hyperlink ref="I2208" r:id="rId459"/>
    <hyperlink ref="O2217" r:id="rId460"/>
    <hyperlink ref="M2063" r:id="rId461"/>
    <hyperlink ref="M2105" r:id="rId462"/>
    <hyperlink ref="M964" r:id="rId463"/>
    <hyperlink ref="R1194" r:id="rId464"/>
    <hyperlink ref="T1556" r:id="rId465"/>
    <hyperlink ref="T1559" r:id="rId466"/>
    <hyperlink ref="M677" r:id="rId467"/>
    <hyperlink ref="M2223" r:id="rId468"/>
    <hyperlink ref="M2222" r:id="rId469"/>
    <hyperlink ref="P2224" r:id="rId470" display="http://www.latticesemi.com/Products/DevelopmentBoardsAndKits.aspx?&amp;sk=Default&amp;s=%7e_d0!2!1!!1!7!0!1!!2!!!0!1!3!2!_d2!9!sbf!_d6!fil!DrtrxrtrzqEqypvspFpHpqGqypxpApwpqBqypxpvspwpxpCpvspwpwpqqrzqqqrur!MachXO3+Boards!MachXO3!_d0!4!%40sitecoreorder!fvf%7c%40productitemnames!_d8!_d1!!yqbqtGpHpxpvppupvpupwpupxppwpppupvpKpLpIpJpFpBpCpzpApEppDpqyprpqsq!&amp;sg=1730e3a5-0ead-4eb9-89a6-f49837cf55fa"/>
    <hyperlink ref="N461" r:id="rId471"/>
    <hyperlink ref="N462" r:id="rId472" display="http://drømstørre.dk/wp-content/wind/miller/windpower web/en/tour/wres/annu.htm"/>
    <hyperlink ref="L496" r:id="rId473"/>
    <hyperlink ref="N464" r:id="rId474"/>
    <hyperlink ref="L497" r:id="rId475"/>
    <hyperlink ref="R467" r:id="rId476" display="https://www.energy.gov/sites/prod/files/2015/06/f22/MA_Energy Sector Risk Profile.pdf"/>
    <hyperlink ref="T1411" r:id="rId477"/>
    <hyperlink ref="AB1441" r:id="rId478"/>
    <hyperlink ref="H3252" r:id="rId479"/>
    <hyperlink ref="H3253" r:id="rId480"/>
    <hyperlink ref="K705" r:id="rId481"/>
    <hyperlink ref="K704" r:id="rId482"/>
    <hyperlink ref="K709" r:id="rId483"/>
    <hyperlink ref="K707" r:id="rId484"/>
    <hyperlink ref="K715" r:id="rId485"/>
    <hyperlink ref="K721" r:id="rId486"/>
    <hyperlink ref="K722" r:id="rId487"/>
    <hyperlink ref="K723" r:id="rId488"/>
    <hyperlink ref="K716" r:id="rId489"/>
    <hyperlink ref="R468" r:id="rId490"/>
    <hyperlink ref="Z1464" r:id="rId491" display="https://www.digikey.com/product-detail/en/diodes-incorporated/ZXGD3009DYTA/ZXGD3009DYTADITR-ND/5012616"/>
    <hyperlink ref="Z1454" r:id="rId492"/>
    <hyperlink ref="S1402" r:id="rId493"/>
    <hyperlink ref="U2212" r:id="rId494"/>
    <hyperlink ref="Q1351" r:id="rId495"/>
    <hyperlink ref="T2447" r:id="rId496" display="https://www.digikey.com/product-detail/en/recom-power/R1SE-0512-H2-R/945-2273-2-ND/5226207"/>
    <hyperlink ref="T2446" r:id="rId497"/>
    <hyperlink ref="T2384" r:id="rId498"/>
    <hyperlink ref="T2389" r:id="rId499"/>
    <hyperlink ref="Q1341" r:id="rId500"/>
    <hyperlink ref="R2123" r:id="rId501" display="https://www.digikey.com/product-detail/en/SSQ-110-23-G-D/SAM10741-ND/5514203/?itemSeq=321405059"/>
    <hyperlink ref="R2126" r:id="rId502"/>
    <hyperlink ref="R2127" r:id="rId503"/>
    <hyperlink ref="R2125" r:id="rId504"/>
    <hyperlink ref="H2129" r:id="rId505" display="https://media.digikey.com/pdf/Data Sheets/Aavid Thermal Technologies PDFs/Board-Level-Heatsinks_Cat.pdf"/>
    <hyperlink ref="K717" r:id="rId506"/>
    <hyperlink ref="K718" r:id="rId507"/>
    <hyperlink ref="S1403" r:id="rId508"/>
    <hyperlink ref="S1390" r:id="rId509"/>
    <hyperlink ref="N1237" r:id="rId510"/>
    <hyperlink ref="V3313" r:id="rId511"/>
    <hyperlink ref="V3315" r:id="rId512"/>
    <hyperlink ref="V3316" r:id="rId513"/>
    <hyperlink ref="V3286" r:id="rId514"/>
    <hyperlink ref="V3323" r:id="rId515"/>
    <hyperlink ref="Z1085" r:id="rId516"/>
    <hyperlink ref="T1412" r:id="rId517"/>
    <hyperlink ref="T1413" r:id="rId518"/>
    <hyperlink ref="Z1471" r:id="rId519" location="p3162max=20;120" display="http://www.ti.com/power-management/gate-drivers/half-bridge-drivers/products.html - p3162max=20;120"/>
    <hyperlink ref="Z1460" r:id="rId520"/>
    <hyperlink ref="R1493" r:id="rId521"/>
    <hyperlink ref="R1495" r:id="rId522"/>
    <hyperlink ref="R1494" r:id="rId523"/>
    <hyperlink ref="O1473" r:id="rId524"/>
    <hyperlink ref="Z1465" r:id="rId525"/>
    <hyperlink ref="T1415" r:id="rId526"/>
    <hyperlink ref="T1416" r:id="rId527"/>
    <hyperlink ref="T1417" r:id="rId528"/>
    <hyperlink ref="T1419" r:id="rId529"/>
    <hyperlink ref="S1393" r:id="rId530"/>
    <hyperlink ref="S1394" r:id="rId531"/>
    <hyperlink ref="S1395" r:id="rId532"/>
    <hyperlink ref="N2465" r:id="rId533"/>
    <hyperlink ref="N2466" r:id="rId534"/>
    <hyperlink ref="N2467" r:id="rId535"/>
    <hyperlink ref="Z1443" r:id="rId536"/>
    <hyperlink ref="Z1446" r:id="rId537"/>
    <hyperlink ref="Z1437" r:id="rId538"/>
    <hyperlink ref="Z1425" r:id="rId539"/>
    <hyperlink ref="S1396" r:id="rId540" display="https://www.digikey.com/product-detail/en/diodes-incorporated/DMG2302UK-13/DMG2302UK-13-ND/6187259"/>
    <hyperlink ref="M820" r:id="rId541"/>
    <hyperlink ref="M2554" r:id="rId542"/>
    <hyperlink ref="Z1438" r:id="rId543"/>
    <hyperlink ref="R1212" r:id="rId544"/>
    <hyperlink ref="AK1443" r:id="rId545" display="https://www.infineon.com/cms/en/tools/solution-finder/product-finder/simulation-model/?filterValues=~(PRODUCT_FILTER~%27IRS)&amp;visibleColumnIds=name,productStatusInfo,724,2c803337c8bf4224ab0f03561e1c0e7c,5546d4624f205c9a014f3c76a4f51d29,722,496_nom,496_max,618"/>
    <hyperlink ref="Z1440" r:id="rId546"/>
    <hyperlink ref="Z1444" r:id="rId547" display="https://www.digikey.com/product-detail/en/infineon-technologies/2ED2182S06FXUMA1/448-2ED2182S06FXUMA1TR-ND/10822759"/>
    <hyperlink ref="O1475" r:id="rId548" display="https://design.infineon.com/tinademo/designer.php?path=EXAMPLESROOT%7CINFINEON%7CApplications%7CPower%20supplies%7C&amp;file=power_400VDC_SMPS_Half-Bridge_2EDS8265H_CT_reinforced_isolation.TSC&amp;_ga=2.250650374.1613125719.1585853427-1546078566.1579652981&amp;_gac=1.95292142.1585854278.Cj0KCQjwmpb0BRCBARIsAG7y4zbfyf-v1kcIBu5F7Ucry7ZOgCiXzttCqaylaHE3aYwMeBHg3nrieyUaAieJEALw_wcB"/>
    <hyperlink ref="Z1466" r:id="rId549"/>
    <hyperlink ref="Z1468" r:id="rId550"/>
    <hyperlink ref="Z1461" r:id="rId551"/>
    <hyperlink ref="Z1457" r:id="rId552"/>
    <hyperlink ref="M910" r:id="rId553"/>
    <hyperlink ref="M913" r:id="rId554"/>
    <hyperlink ref="M915" r:id="rId555"/>
    <hyperlink ref="Z1462" r:id="rId556"/>
    <hyperlink ref="O1472" r:id="rId557" display="http://clareweb1.ixysic.com/Products/IGBT-MOSFETDvr.htm"/>
    <hyperlink ref="O1470" r:id="rId558" display="http://clareweb1.ixysic.com/Products/IGBT-MOSFETDvr.htm"/>
    <hyperlink ref="Z1463" r:id="rId559"/>
    <hyperlink ref="Z1434" r:id="rId560"/>
    <hyperlink ref="S1399" r:id="rId561"/>
    <hyperlink ref="S1379" r:id="rId562"/>
    <hyperlink ref="S1380" r:id="rId563"/>
    <hyperlink ref="M825" r:id="rId564"/>
    <hyperlink ref="M751" r:id="rId565"/>
    <hyperlink ref="M2709" r:id="rId566"/>
    <hyperlink ref="M882" r:id="rId567"/>
    <hyperlink ref="M876" r:id="rId568"/>
    <hyperlink ref="M830" r:id="rId569"/>
    <hyperlink ref="M865" r:id="rId570"/>
    <hyperlink ref="M866" r:id="rId571"/>
    <hyperlink ref="M867" r:id="rId572"/>
    <hyperlink ref="M848" r:id="rId573"/>
    <hyperlink ref="M831" r:id="rId574"/>
    <hyperlink ref="M832" r:id="rId575"/>
    <hyperlink ref="M916" r:id="rId576"/>
    <hyperlink ref="M879" r:id="rId577" display="https://fscdn.rohm.com/en/products/databook/applinote/ic/power/input-filter-for-dcdc-converter_an-e.pdf"/>
    <hyperlink ref="M2710" r:id="rId578"/>
    <hyperlink ref="M752" r:id="rId579"/>
    <hyperlink ref="M877" r:id="rId580"/>
    <hyperlink ref="Q1235" r:id="rId581" display="https://www.digikey.com/product-detail/en/on-semiconductor/BZX84C15LT3G/BZX84C15LT3GOSTR-ND/1476313"/>
    <hyperlink ref="U2789" r:id="rId582"/>
    <hyperlink ref="V2893" r:id="rId583"/>
    <hyperlink ref="V2857" r:id="rId584"/>
    <hyperlink ref="Z1081" r:id="rId585"/>
    <hyperlink ref="Z1080" r:id="rId586"/>
    <hyperlink ref="T1257" r:id="rId587"/>
    <hyperlink ref="Z1151" r:id="rId588" display="https://www.digikey.com/product-detail/en/nexperia-usa-inc/74LV4066PW-118/1727-6665-2-ND/1231223"/>
    <hyperlink ref="T1250" r:id="rId589" display="https://www.digikey.com/product-detail/en/panasonic-electronic-components/ERA-6AED103V/P123794TR-ND/9373571"/>
    <hyperlink ref="T1251" r:id="rId590" display="https://www.digikey.com/product-detail/en/panasonic-electronic-components/ERA-6AEB103V/P10KDATR-ND/1465773"/>
    <hyperlink ref="T1252" r:id="rId591" display="https://www.digikey.com/product-detail/en/yageo/RT0805DRC0710KL/RT0805DRC0710KL-ND/7708577"/>
    <hyperlink ref="T1253" r:id="rId592"/>
    <hyperlink ref="W2850" r:id="rId593"/>
    <hyperlink ref="W2228" r:id="rId594"/>
    <hyperlink ref="W3071" r:id="rId595"/>
    <hyperlink ref="N2461" r:id="rId596"/>
    <hyperlink ref="N2462" r:id="rId597"/>
    <hyperlink ref="AE1132" r:id="rId598"/>
    <hyperlink ref="Z1155" r:id="rId599"/>
    <hyperlink ref="Z1133" r:id="rId600"/>
    <hyperlink ref="T1241" r:id="rId601"/>
    <hyperlink ref="P1274" r:id="rId602"/>
    <hyperlink ref="S1544" r:id="rId603"/>
    <hyperlink ref="R1225" r:id="rId604"/>
    <hyperlink ref="S1537" r:id="rId605" display="http://www.ti.com/product/TLV700?qgpn=tlv700"/>
    <hyperlink ref="Q1342" r:id="rId606"/>
    <hyperlink ref="S1540" r:id="rId607"/>
    <hyperlink ref="S1539" r:id="rId608"/>
    <hyperlink ref="S1528" r:id="rId609"/>
    <hyperlink ref="S1527" r:id="rId610"/>
    <hyperlink ref="S1533" r:id="rId611"/>
    <hyperlink ref="T1561" r:id="rId612"/>
    <hyperlink ref="Q1343" r:id="rId613"/>
    <hyperlink ref="AA1320" r:id="rId614"/>
    <hyperlink ref="M922" r:id="rId615"/>
    <hyperlink ref="M929" r:id="rId616"/>
    <hyperlink ref="M923" r:id="rId617"/>
    <hyperlink ref="M924" r:id="rId618"/>
    <hyperlink ref="X1311" r:id="rId619" display="http://ksim.kemet.com/Ceramic/CeramicCapSelection.aspx"/>
    <hyperlink ref="M925" r:id="rId620"/>
    <hyperlink ref="M926" r:id="rId621"/>
    <hyperlink ref="R1586" r:id="rId622"/>
    <hyperlink ref="S1548" r:id="rId623"/>
    <hyperlink ref="Z1076" r:id="rId624"/>
    <hyperlink ref="U1290" r:id="rId625"/>
    <hyperlink ref="S1551" r:id="rId626"/>
    <hyperlink ref="R1226" r:id="rId627"/>
    <hyperlink ref="Z1095" r:id="rId628"/>
    <hyperlink ref="Z1096" r:id="rId629"/>
    <hyperlink ref="V3294" r:id="rId630"/>
    <hyperlink ref="V3276" r:id="rId631"/>
    <hyperlink ref="Z1150" r:id="rId632"/>
    <hyperlink ref="Z1082" r:id="rId633"/>
    <hyperlink ref="V3304" r:id="rId634" display="https://www.digikey.com/product-detail/en/texas-instruments/OPA2330AIDR/296-25305-2-ND/2179352"/>
    <hyperlink ref="V3305" r:id="rId635"/>
    <hyperlink ref="V3306" r:id="rId636"/>
    <hyperlink ref="R3248" r:id="rId637"/>
    <hyperlink ref="M918" r:id="rId638"/>
    <hyperlink ref="R3249" r:id="rId639"/>
    <hyperlink ref="R3250" r:id="rId640"/>
    <hyperlink ref="M920" r:id="rId641"/>
    <hyperlink ref="Z1137" r:id="rId642"/>
    <hyperlink ref="T3257" r:id="rId643"/>
    <hyperlink ref="T3258" r:id="rId644" display="https://www.digikey.com/product-detail/en/susumu/RG2012P-225-B-T5/408-2027-2-ND/7035371"/>
    <hyperlink ref="T3259" r:id="rId645"/>
    <hyperlink ref="Z1136" r:id="rId646"/>
    <hyperlink ref="P1326" r:id="rId647" display="https://www.digikey.com/product-detail/en/samsung-electro-mechanics/CL21B105KOFNNNG/1276-6471-2-ND/3894469"/>
    <hyperlink ref="Z1074" r:id="rId648"/>
    <hyperlink ref="M649" r:id="rId649"/>
    <hyperlink ref="M650" r:id="rId650"/>
    <hyperlink ref="M652" r:id="rId651"/>
    <hyperlink ref="M653" r:id="rId652"/>
    <hyperlink ref="M661" r:id="rId653"/>
    <hyperlink ref="M662" r:id="rId654"/>
    <hyperlink ref="M663" r:id="rId655"/>
    <hyperlink ref="M655" r:id="rId656"/>
    <hyperlink ref="M656" r:id="rId657"/>
    <hyperlink ref="M657" r:id="rId658"/>
    <hyperlink ref="M665" r:id="rId659"/>
    <hyperlink ref="M658" r:id="rId660"/>
    <hyperlink ref="R1650" r:id="rId661"/>
    <hyperlink ref="N1768" r:id="rId662"/>
    <hyperlink ref="N1783" r:id="rId663"/>
    <hyperlink ref="N1785" r:id="rId664"/>
    <hyperlink ref="R1643" r:id="rId665"/>
    <hyperlink ref="N1763" r:id="rId666"/>
    <hyperlink ref="N1822" r:id="rId667"/>
    <hyperlink ref="N1760" r:id="rId668" display="https://www.digikey.com/product-detail/en/texas-instruments/TPS76201DBVR/296-11013-2-ND/382210"/>
    <hyperlink ref="N1761" r:id="rId669" display="http://www.ti.com/product/TLV700?qgpn=tlv700"/>
    <hyperlink ref="N1762" r:id="rId670"/>
    <hyperlink ref="N1787" r:id="rId671" display="https://www.digikey.com/product-detail/en/texas-instruments/TLV9061IDCKR/296-53199-2-ND/9861481"/>
    <hyperlink ref="N1793" r:id="rId672"/>
    <hyperlink ref="N1794" r:id="rId673" display="https://www.digikey.com/product-detail/en/toshiba-semiconductor-and-storage/74VHC4052AFT-BJ/74VHC4052AFT-BJ-TR-ND/7394042"/>
    <hyperlink ref="N1799" r:id="rId674" display="https://www.digikey.com/product-detail/en/toshiba-semiconductor-and-storage/74VHC4052AFT-BJ/74VHC4052AFT-BJ-TR-ND/7394042"/>
    <hyperlink ref="Z1145" r:id="rId675"/>
    <hyperlink ref="N1885" r:id="rId676"/>
    <hyperlink ref="N1856" r:id="rId677"/>
    <hyperlink ref="N1858" r:id="rId678"/>
    <hyperlink ref="N1854" r:id="rId679" display="https://www.digikey.com/product-detail/en/samsung-electro-mechanics/CL21A475KLCLQNC/1276-6722-2-ND/5961206"/>
    <hyperlink ref="N1855" r:id="rId680"/>
    <hyperlink ref="R1268" r:id="rId681" display="https://www.digikey.com/products/en?keywords=RMCF1206FG10K0"/>
    <hyperlink ref="U1291" r:id="rId682" display="https://www.digikey.com/product-detail/en/panasonic-electronic-components/EXB-N8V103JX/Y10103TR-ND/671523"/>
    <hyperlink ref="N1847" r:id="rId683"/>
    <hyperlink ref="N1853" r:id="rId684"/>
    <hyperlink ref="N1838" r:id="rId685"/>
    <hyperlink ref="N1852" r:id="rId686"/>
    <hyperlink ref="N1945" r:id="rId687"/>
    <hyperlink ref="N1864" r:id="rId688"/>
    <hyperlink ref="N1866" r:id="rId689"/>
    <hyperlink ref="Q1352" r:id="rId690"/>
    <hyperlink ref="Q1364" r:id="rId691"/>
    <hyperlink ref="Q1344" r:id="rId692" display="https://www.digikey.com/product-detail/en/signal-transformer/SCRH125-471/SCRH125-471-ND/2778969"/>
    <hyperlink ref="N1946" r:id="rId693"/>
    <hyperlink ref="N1867" r:id="rId694"/>
    <hyperlink ref="N1843" r:id="rId695" display="https://www.digikey.com/product-detail/en/kemet/C0603C101K1HAC7867/C0603C101K1HAC7867-ND/7946921"/>
    <hyperlink ref="N1842" r:id="rId696"/>
    <hyperlink ref="N1849" r:id="rId697"/>
    <hyperlink ref="N1863" r:id="rId698"/>
    <hyperlink ref="Q1345" r:id="rId699"/>
    <hyperlink ref="N1949" r:id="rId700" display="https://www.digikey.com/product-detail/en/cts-resistor-products/73L2R33J/73L2R33J-ND/7311024"/>
    <hyperlink ref="N1948" r:id="rId701"/>
    <hyperlink ref="N1764" r:id="rId702"/>
    <hyperlink ref="P1319" r:id="rId703"/>
    <hyperlink ref="N1850" r:id="rId704"/>
    <hyperlink ref="N1862" r:id="rId705"/>
    <hyperlink ref="N1861" r:id="rId706"/>
    <hyperlink ref="N1831" r:id="rId707"/>
    <hyperlink ref="N1816" r:id="rId708"/>
    <hyperlink ref="R1222" r:id="rId709"/>
    <hyperlink ref="N1827" r:id="rId710"/>
    <hyperlink ref="N1774" r:id="rId711"/>
    <hyperlink ref="N1770" r:id="rId712" display="https://www.digikey.com/product-detail/en/recom-power/R1SE-0505-R/945-1659-2-ND/3593408"/>
    <hyperlink ref="T1258" r:id="rId713"/>
    <hyperlink ref="N1790" r:id="rId714" display="https://www.digikey.com/product-detail/en/on-semiconductor/LMV393DMR2G/LMV393DMR2GOSTR-ND/1973674"/>
    <hyperlink ref="N1911" r:id="rId715"/>
    <hyperlink ref="N1943" r:id="rId716"/>
    <hyperlink ref="N1804" r:id="rId717"/>
    <hyperlink ref="N1957" r:id="rId718"/>
    <hyperlink ref="N1819" r:id="rId719"/>
    <hyperlink ref="R1655" r:id="rId720"/>
    <hyperlink ref="N1845" r:id="rId721"/>
    <hyperlink ref="N1846" r:id="rId722"/>
    <hyperlink ref="N1907" r:id="rId723"/>
    <hyperlink ref="N1934" r:id="rId724"/>
    <hyperlink ref="N1933" r:id="rId725"/>
    <hyperlink ref="N1932" r:id="rId726"/>
    <hyperlink ref="N1939" r:id="rId727"/>
    <hyperlink ref="N1833" r:id="rId728" display="https://www.digikey.com/product-detail/en/nexperia-usa-inc/BZX84-C18-235/1727-6254-2-ND/1156065"/>
    <hyperlink ref="N1860" r:id="rId729"/>
    <hyperlink ref="N1865" r:id="rId730"/>
    <hyperlink ref="N1806" r:id="rId731"/>
    <hyperlink ref="N1807" r:id="rId732" display="https://www.digikey.com/product-detail/en/diodes-incorporated/DMG2302UK-13/DMG2302UK-13-ND/6187259"/>
    <hyperlink ref="N1814" r:id="rId733"/>
    <hyperlink ref="N1808" r:id="rId734"/>
    <hyperlink ref="N1801" r:id="rId735"/>
    <hyperlink ref="M631" r:id="rId736"/>
    <hyperlink ref="M630" r:id="rId737"/>
    <hyperlink ref="N1824" r:id="rId738"/>
    <hyperlink ref="N1834" r:id="rId739"/>
    <hyperlink ref="N1836" r:id="rId740"/>
    <hyperlink ref="N1937" r:id="rId741" display="https://www.digikey.com/products/en?keywords=RMCF1206FG1R50"/>
    <hyperlink ref="N1931" r:id="rId742"/>
    <hyperlink ref="N1940" r:id="rId743"/>
    <hyperlink ref="N1811" r:id="rId744"/>
    <hyperlink ref="N1812" r:id="rId745"/>
    <hyperlink ref="N1820" r:id="rId746"/>
    <hyperlink ref="N1733" r:id="rId747"/>
    <hyperlink ref="N1765" r:id="rId748"/>
    <hyperlink ref="N1909" r:id="rId749"/>
    <hyperlink ref="N1905" r:id="rId750"/>
    <hyperlink ref="N1737" r:id="rId751"/>
    <hyperlink ref="N1738" r:id="rId752"/>
    <hyperlink ref="P3549" r:id="rId753"/>
    <hyperlink ref="T28" location="SolarRoof!A51" display="SolarRoof!A51"/>
    <hyperlink ref="T27" location="SolarRoof!A51" display="SolarRoof!A51"/>
    <hyperlink ref="M2082" r:id="rId754"/>
    <hyperlink ref="N1731" r:id="rId755"/>
    <hyperlink ref="W1715" r:id="rId756"/>
    <hyperlink ref="O2144" r:id="rId757"/>
    <hyperlink ref="AC2139" r:id="rId758"/>
    <hyperlink ref="W1714" r:id="rId759"/>
    <hyperlink ref="W1716" r:id="rId760"/>
    <hyperlink ref="Q2222" r:id="rId761" display="https://media.digikey.com/pdf/Data Sheets/Lattice PDFs/MachXO3L_StarterKit_UG.pdf"/>
    <hyperlink ref="U2222" r:id="rId762"/>
    <hyperlink ref="I2199" r:id="rId763" display="https://media.digikey.com/pdf/Data Sheets/Lattice PDFs/MachXO3L_StarterKit_UG.pdf"/>
    <hyperlink ref="I2200" r:id="rId764"/>
    <hyperlink ref="I2201" r:id="rId765"/>
    <hyperlink ref="J2835" r:id="rId766" display="http://ww1.microchip.com/downloads/en/DeviceDoc/MCP3461-2-4-Two-Four-Eight-Channel-153.6 ksps-Low-Noise-16-Bit-Delta-Sigma-ADC-DS20006180B.pdf"/>
    <hyperlink ref="J2836" r:id="rId767"/>
    <hyperlink ref="N1745" r:id="rId768"/>
    <hyperlink ref="J2837" r:id="rId769"/>
    <hyperlink ref="N1749" r:id="rId770"/>
    <hyperlink ref="N1750" r:id="rId771"/>
    <hyperlink ref="N1754" r:id="rId772"/>
    <hyperlink ref="Q1517" r:id="rId773"/>
    <hyperlink ref="M775" r:id="rId774"/>
    <hyperlink ref="M770" r:id="rId775"/>
    <hyperlink ref="Q1520" r:id="rId776" display="http://www.ti.com/lit/ds/symlink/tlv1805-q1.pdf?HQS=TI-null-null-digikeymode-df-pf-null-wwe&amp;ts=1591463085917&amp;ref_url=http://www.ti.com/general/docs/suppproductinfo.tsp?distId%3D10&amp;gotoUrl=http://www.ti.com/lit/gpn/tlv1805-q1"/>
    <hyperlink ref="N1791" r:id="rId777" display="http://www.ti.com/lit/ds/symlink/tlv1805-q1.pdf?HQS=TI-null-null-digikeymode-df-pf-null-wwe&amp;ts=1591463085917&amp;ref_url=http://www.ti.com/general/docs/suppproductinfo.tsp?distId%3D10&amp;gotoUrl=http://www.ti.com/lit/gpn/tlv1805-q1"/>
    <hyperlink ref="N1809" r:id="rId778"/>
    <hyperlink ref="N1771" r:id="rId779" display="https://www.digikey.com/product-detail/en/recom-power/R1SE-0512-H2-R/945-2273-2-ND/5226207"/>
    <hyperlink ref="B32" r:id="rId780" location="gid=0" display="UMass Spreadsheet on Materials and Stackup"/>
    <hyperlink ref="B33" r:id="rId781" display="G. Weinreb Solar Spreadsheet"/>
    <hyperlink ref="M606" r:id="rId782"/>
    <hyperlink ref="M607" r:id="rId783"/>
    <hyperlink ref="M608" r:id="rId784"/>
    <hyperlink ref="N1917" r:id="rId785"/>
    <hyperlink ref="N1961" r:id="rId786" display="https://www.digikey.in/product-detail/en/stackpole-electronics-inc/RAVF104DJT100R/RAVF104DJT100RTR-ND/1744050"/>
    <hyperlink ref="N1968" r:id="rId787" display="https://www.digikey.in/product-detail/en/stackpole-electronics-inc/RAVF104DJT22K0/RAVF104DJT22K0TR-ND/2416617"/>
    <hyperlink ref="N1969" r:id="rId788" display="https://www.digikey.in/product-detail/en/stackpole-electronics-inc/RAVF104DJT33K0/RAVF104DJT33K0-ND/2416621"/>
    <hyperlink ref="N1970" r:id="rId789" display="https://www.digikey.in/product-detail/en/stackpole-electronics-inc/RAVF104DJT47K0/RAVF104DJT47K0-ND/2416625"/>
    <hyperlink ref="N1971" r:id="rId790" display="https://www.digikey.in/product-detail/en/stackpole-electronics-inc/RAVF104DJT100K/RAVF104DJT100KTR-ND/1744051"/>
    <hyperlink ref="N1972" r:id="rId791" display="https://www.digikey.in/product-detail/en/stackpole-electronics-inc/RAVF104DJT150K/RAVF104DJT150K-ND/2416636"/>
    <hyperlink ref="N1973" r:id="rId792" display="https://www.digikey.in/product-detail/en/stackpole-electronics-inc/RAVF104DJT330K/RAVF104DJT330K-ND/2416644"/>
    <hyperlink ref="N1879" r:id="rId793"/>
    <hyperlink ref="N1880" r:id="rId794"/>
    <hyperlink ref="N1883" r:id="rId795"/>
    <hyperlink ref="N1886" r:id="rId796"/>
    <hyperlink ref="N1894" r:id="rId797"/>
    <hyperlink ref="AD1729" r:id="rId798"/>
    <hyperlink ref="L991" r:id="rId799"/>
    <hyperlink ref="F1633" r:id="rId800"/>
    <hyperlink ref="L992" r:id="rId801"/>
    <hyperlink ref="F1626" r:id="rId802"/>
    <hyperlink ref="L993" r:id="rId803"/>
    <hyperlink ref="F1634" r:id="rId804"/>
    <hyperlink ref="L994" r:id="rId805"/>
    <hyperlink ref="N1766" r:id="rId806"/>
    <hyperlink ref="Z1073" r:id="rId807" location="design-development" display="https://www.ti.com/product/LM321LV?qgpn=lm321lv - design-development"/>
    <hyperlink ref="R1490" r:id="rId808"/>
    <hyperlink ref="N1817" r:id="rId809"/>
    <hyperlink ref="N1926" r:id="rId810" display="https://www.digikey.com/product-detail/en/stackpole-electronics-inc/RMCF0805FG100K/RMCF0805FG100KTR-ND/1712614"/>
    <hyperlink ref="Q1295" r:id="rId811"/>
    <hyperlink ref="Q1296" r:id="rId812"/>
    <hyperlink ref="Q1297" r:id="rId813"/>
    <hyperlink ref="Q1298" r:id="rId814"/>
    <hyperlink ref="Q1299" r:id="rId815" display="https://media.digikey.com/pdf/Data Sheets/Samsung PDFs/RC_Series_ds.pdf"/>
    <hyperlink ref="N1779" r:id="rId816" display="https://www.digikey.com/product-detail/en/texas-instruments/TLV9054IPWR/296-TLV9054IPWRTR-ND/10434682"/>
    <hyperlink ref="Z1121" r:id="rId817"/>
    <hyperlink ref="K32" r:id="rId818" location="gid=0"/>
    <hyperlink ref="N1839" r:id="rId819" display="https://www.digikey.com/product-detail/en/samsung-electro-mechanics/CL10C030BB8NNNC/1276-2125-2-ND/3887783"/>
    <hyperlink ref="N1829" r:id="rId820" display="https://www.digikey.com/product-detail/en/on-semiconductor/BAS21LT3G/BAS21LT3GOSTR-ND/1475480"/>
    <hyperlink ref="N1802" r:id="rId821"/>
    <hyperlink ref="N1795" r:id="rId822" display="https://www.digikey.com/product-detail/en/on-semiconductor/NLAST4051DTR2G/NLAST4051DTR2GOSTR-ND/920174"/>
    <hyperlink ref="N1796" r:id="rId823"/>
    <hyperlink ref="N1786" r:id="rId824" display="https://www.digikey.com/product-detail/en/texas-instruments/LMV794MAX-NOPB/296-44291-2-ND/1840736"/>
    <hyperlink ref="M2083" r:id="rId825"/>
    <hyperlink ref="N1775" r:id="rId826"/>
    <hyperlink ref="N1840" r:id="rId827" display="https://www.digikey.com/product-detail/en/samsung-electro-mechanics/CL10C030BB8NNNC/1276-2125-2-ND/3887783"/>
  </hyperlinks>
  <pageMargins left="0.7" right="0.7" top="0.75" bottom="0.75" header="0.3" footer="0.3"/>
  <pageSetup orientation="portrait" r:id="rId828"/>
  <drawing r:id="rId8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194"/>
  <sheetViews>
    <sheetView topLeftCell="A109" workbookViewId="0">
      <selection activeCell="B153" sqref="B153"/>
    </sheetView>
  </sheetViews>
  <sheetFormatPr defaultRowHeight="14.5" x14ac:dyDescent="0.35"/>
  <cols>
    <col min="1" max="1" width="8.7265625" style="89"/>
    <col min="7" max="7" width="9.08984375" bestFit="1" customWidth="1"/>
  </cols>
  <sheetData>
    <row r="1" spans="1:13" s="88" customFormat="1" x14ac:dyDescent="0.35">
      <c r="A1" s="86" t="s">
        <v>650</v>
      </c>
    </row>
    <row r="2" spans="1:13" x14ac:dyDescent="0.35">
      <c r="B2" s="83"/>
    </row>
    <row r="3" spans="1:13" x14ac:dyDescent="0.35">
      <c r="B3" s="83" t="s">
        <v>538</v>
      </c>
      <c r="D3" t="s">
        <v>539</v>
      </c>
      <c r="G3" s="15">
        <v>3</v>
      </c>
      <c r="H3" t="s">
        <v>539</v>
      </c>
      <c r="M3" s="1" t="s">
        <v>540</v>
      </c>
    </row>
    <row r="4" spans="1:13" x14ac:dyDescent="0.35">
      <c r="B4" s="83"/>
      <c r="D4" t="s">
        <v>542</v>
      </c>
      <c r="G4" s="15">
        <v>350</v>
      </c>
      <c r="H4" t="s">
        <v>543</v>
      </c>
      <c r="J4" t="s">
        <v>550</v>
      </c>
      <c r="M4" t="s">
        <v>541</v>
      </c>
    </row>
    <row r="5" spans="1:13" x14ac:dyDescent="0.35">
      <c r="B5" s="83"/>
      <c r="D5" t="s">
        <v>475</v>
      </c>
      <c r="G5" s="15">
        <f>G3*G4</f>
        <v>1050</v>
      </c>
      <c r="H5" t="s">
        <v>351</v>
      </c>
    </row>
    <row r="6" spans="1:13" x14ac:dyDescent="0.35">
      <c r="B6" s="83"/>
      <c r="G6" s="15">
        <f>G5*12/39</f>
        <v>323.07692307692309</v>
      </c>
      <c r="H6" t="s">
        <v>54</v>
      </c>
    </row>
    <row r="7" spans="1:13" x14ac:dyDescent="0.35">
      <c r="B7" s="83"/>
      <c r="G7" s="15"/>
    </row>
    <row r="8" spans="1:13" x14ac:dyDescent="0.35">
      <c r="B8" s="83" t="s">
        <v>474</v>
      </c>
      <c r="D8" t="s">
        <v>471</v>
      </c>
      <c r="G8">
        <v>20</v>
      </c>
      <c r="H8" t="s">
        <v>57</v>
      </c>
    </row>
    <row r="9" spans="1:13" x14ac:dyDescent="0.35">
      <c r="B9" s="83"/>
      <c r="D9" t="s">
        <v>477</v>
      </c>
      <c r="G9" s="15">
        <f>G8*PI()</f>
        <v>62.831853071795862</v>
      </c>
      <c r="H9" t="s">
        <v>57</v>
      </c>
    </row>
    <row r="10" spans="1:13" x14ac:dyDescent="0.35">
      <c r="B10" s="83"/>
      <c r="G10" s="13">
        <f>G9/12</f>
        <v>5.2359877559829888</v>
      </c>
      <c r="H10" t="s">
        <v>351</v>
      </c>
    </row>
    <row r="11" spans="1:13" x14ac:dyDescent="0.35">
      <c r="B11" s="83"/>
      <c r="G11" s="15"/>
    </row>
    <row r="12" spans="1:13" x14ac:dyDescent="0.35">
      <c r="B12" s="83" t="s">
        <v>544</v>
      </c>
      <c r="D12" t="s">
        <v>545</v>
      </c>
      <c r="G12" s="15">
        <f>G5/(G10)</f>
        <v>200.53522829578813</v>
      </c>
    </row>
    <row r="13" spans="1:13" x14ac:dyDescent="0.35">
      <c r="B13" s="83"/>
      <c r="D13" t="s">
        <v>546</v>
      </c>
      <c r="G13" s="15">
        <f>G12/G14</f>
        <v>100.26761414789407</v>
      </c>
    </row>
    <row r="14" spans="1:13" x14ac:dyDescent="0.35">
      <c r="B14" s="83"/>
      <c r="D14" t="s">
        <v>549</v>
      </c>
      <c r="G14" s="15">
        <v>2</v>
      </c>
    </row>
    <row r="15" spans="1:13" x14ac:dyDescent="0.35">
      <c r="B15" s="83"/>
      <c r="G15" s="15"/>
    </row>
    <row r="16" spans="1:13" x14ac:dyDescent="0.35">
      <c r="B16" s="83" t="s">
        <v>472</v>
      </c>
      <c r="D16" t="s">
        <v>476</v>
      </c>
      <c r="G16" s="15">
        <f>G8*2/3</f>
        <v>13.333333333333334</v>
      </c>
      <c r="H16" t="s">
        <v>57</v>
      </c>
    </row>
    <row r="17" spans="2:13" x14ac:dyDescent="0.35">
      <c r="B17" s="83"/>
      <c r="G17" s="15"/>
    </row>
    <row r="18" spans="2:13" x14ac:dyDescent="0.35">
      <c r="B18" s="83"/>
      <c r="D18" s="14" t="s">
        <v>547</v>
      </c>
      <c r="G18" s="13">
        <f>G10</f>
        <v>5.2359877559829888</v>
      </c>
    </row>
    <row r="19" spans="2:13" x14ac:dyDescent="0.35">
      <c r="B19" s="83"/>
      <c r="D19" t="s">
        <v>548</v>
      </c>
      <c r="G19" s="15">
        <f>G13</f>
        <v>100.26761414789407</v>
      </c>
    </row>
    <row r="20" spans="2:13" x14ac:dyDescent="0.35">
      <c r="B20" s="83"/>
    </row>
    <row r="21" spans="2:13" x14ac:dyDescent="0.35">
      <c r="B21" s="83" t="s">
        <v>473</v>
      </c>
      <c r="D21" t="s">
        <v>468</v>
      </c>
      <c r="G21" s="73">
        <v>2</v>
      </c>
      <c r="H21" t="s">
        <v>57</v>
      </c>
      <c r="K21" t="s">
        <v>495</v>
      </c>
      <c r="M21" t="s">
        <v>496</v>
      </c>
    </row>
    <row r="22" spans="2:13" x14ac:dyDescent="0.35">
      <c r="B22" s="83"/>
      <c r="D22" t="s">
        <v>478</v>
      </c>
      <c r="G22" s="15">
        <f>G19*(G16/12)</f>
        <v>111.40846016432674</v>
      </c>
      <c r="H22" t="s">
        <v>351</v>
      </c>
      <c r="K22" t="s">
        <v>498</v>
      </c>
      <c r="M22" s="1" t="s">
        <v>497</v>
      </c>
    </row>
    <row r="23" spans="2:13" x14ac:dyDescent="0.35">
      <c r="B23" s="83"/>
      <c r="G23" s="15">
        <f>G22*12</f>
        <v>1336.9015219719208</v>
      </c>
      <c r="H23" t="s">
        <v>57</v>
      </c>
    </row>
    <row r="24" spans="2:13" x14ac:dyDescent="0.35">
      <c r="B24" s="83"/>
      <c r="G24" s="15">
        <f>G23/39</f>
        <v>34.279526204408228</v>
      </c>
      <c r="H24" t="s">
        <v>54</v>
      </c>
    </row>
    <row r="25" spans="2:13" x14ac:dyDescent="0.35">
      <c r="B25" s="83"/>
    </row>
    <row r="26" spans="2:13" x14ac:dyDescent="0.35">
      <c r="B26" s="83" t="s">
        <v>470</v>
      </c>
      <c r="D26" t="s">
        <v>486</v>
      </c>
      <c r="G26" s="16">
        <v>0.25</v>
      </c>
      <c r="H26" t="s">
        <v>57</v>
      </c>
    </row>
    <row r="27" spans="2:13" x14ac:dyDescent="0.35">
      <c r="B27" s="83"/>
      <c r="D27" t="s">
        <v>487</v>
      </c>
      <c r="G27" s="16">
        <f>G26+G26+G21</f>
        <v>2.5</v>
      </c>
      <c r="H27" t="s">
        <v>57</v>
      </c>
    </row>
    <row r="28" spans="2:13" x14ac:dyDescent="0.35">
      <c r="B28" s="83"/>
      <c r="D28" t="s">
        <v>488</v>
      </c>
      <c r="G28" s="16">
        <f>PI()*(G21/2)^2</f>
        <v>3.1415926535897931</v>
      </c>
      <c r="H28" t="s">
        <v>469</v>
      </c>
    </row>
    <row r="29" spans="2:13" x14ac:dyDescent="0.35">
      <c r="B29" s="83"/>
      <c r="D29" t="s">
        <v>479</v>
      </c>
      <c r="G29" s="16">
        <f>PI()*(G27/2)^2</f>
        <v>4.908738521234052</v>
      </c>
      <c r="H29" t="s">
        <v>469</v>
      </c>
    </row>
    <row r="30" spans="2:13" x14ac:dyDescent="0.35">
      <c r="B30" s="83"/>
      <c r="D30" t="s">
        <v>483</v>
      </c>
      <c r="G30" s="16">
        <f>G29-G28</f>
        <v>1.7671458676442588</v>
      </c>
      <c r="H30" t="s">
        <v>469</v>
      </c>
    </row>
    <row r="31" spans="2:13" x14ac:dyDescent="0.35">
      <c r="B31" s="83"/>
      <c r="D31" t="s">
        <v>485</v>
      </c>
      <c r="G31" s="16">
        <f>G30*G9</f>
        <v>111.03304951225529</v>
      </c>
      <c r="H31" t="s">
        <v>484</v>
      </c>
    </row>
    <row r="32" spans="2:13" x14ac:dyDescent="0.35">
      <c r="B32" s="83"/>
      <c r="D32" t="s">
        <v>482</v>
      </c>
      <c r="G32" s="20">
        <f>G31*G12</f>
        <v>22266.03793231766</v>
      </c>
      <c r="H32" t="s">
        <v>484</v>
      </c>
    </row>
    <row r="33" spans="2:14" x14ac:dyDescent="0.35">
      <c r="B33" s="83"/>
      <c r="G33" s="13">
        <f>G32/(12*12*12)</f>
        <v>12.885438618239387</v>
      </c>
      <c r="H33" t="s">
        <v>480</v>
      </c>
    </row>
    <row r="34" spans="2:14" x14ac:dyDescent="0.35">
      <c r="B34" s="83"/>
      <c r="G34" s="12">
        <f>G33*0.0283</f>
        <v>0.36465791289617466</v>
      </c>
      <c r="H34" t="s">
        <v>481</v>
      </c>
    </row>
    <row r="35" spans="2:14" x14ac:dyDescent="0.35">
      <c r="B35" s="83"/>
      <c r="G35" s="12"/>
    </row>
    <row r="36" spans="2:14" x14ac:dyDescent="0.35">
      <c r="B36" s="83"/>
      <c r="D36" t="s">
        <v>490</v>
      </c>
      <c r="G36">
        <v>1900</v>
      </c>
      <c r="H36" t="s">
        <v>491</v>
      </c>
      <c r="L36" t="s">
        <v>489</v>
      </c>
    </row>
    <row r="37" spans="2:14" x14ac:dyDescent="0.35">
      <c r="B37" s="83"/>
    </row>
    <row r="38" spans="2:14" x14ac:dyDescent="0.35">
      <c r="B38" s="83"/>
      <c r="D38" t="s">
        <v>493</v>
      </c>
      <c r="G38" s="15">
        <f>G36*G34</f>
        <v>692.85003450273189</v>
      </c>
      <c r="H38" t="s">
        <v>492</v>
      </c>
    </row>
    <row r="39" spans="2:14" x14ac:dyDescent="0.35">
      <c r="B39" s="83"/>
      <c r="G39" s="15">
        <f>G38*2.2</f>
        <v>1524.2700759060103</v>
      </c>
      <c r="H39" t="s">
        <v>69</v>
      </c>
    </row>
    <row r="40" spans="2:14" x14ac:dyDescent="0.35">
      <c r="B40" s="83"/>
    </row>
    <row r="41" spans="2:14" x14ac:dyDescent="0.35">
      <c r="B41" s="83" t="s">
        <v>494</v>
      </c>
    </row>
    <row r="42" spans="2:14" x14ac:dyDescent="0.35">
      <c r="B42" s="83"/>
      <c r="D42" t="s">
        <v>499</v>
      </c>
      <c r="G42">
        <v>0.25</v>
      </c>
      <c r="L42" t="s">
        <v>893</v>
      </c>
      <c r="N42" s="1" t="s">
        <v>891</v>
      </c>
    </row>
    <row r="43" spans="2:14" x14ac:dyDescent="0.35">
      <c r="B43" s="83"/>
      <c r="D43" t="s">
        <v>500</v>
      </c>
      <c r="G43">
        <v>3.7</v>
      </c>
      <c r="N43" s="1" t="s">
        <v>892</v>
      </c>
    </row>
    <row r="44" spans="2:14" x14ac:dyDescent="0.35">
      <c r="B44" s="83"/>
      <c r="D44" t="s">
        <v>501</v>
      </c>
      <c r="G44">
        <v>0.45</v>
      </c>
    </row>
    <row r="45" spans="2:14" x14ac:dyDescent="0.35">
      <c r="B45" s="83"/>
    </row>
    <row r="46" spans="2:14" x14ac:dyDescent="0.35">
      <c r="B46" s="83" t="s">
        <v>515</v>
      </c>
      <c r="D46" t="s">
        <v>506</v>
      </c>
      <c r="G46" s="13">
        <v>5</v>
      </c>
      <c r="H46" t="s">
        <v>351</v>
      </c>
    </row>
    <row r="47" spans="2:14" x14ac:dyDescent="0.35">
      <c r="B47" s="83"/>
      <c r="D47" t="s">
        <v>510</v>
      </c>
      <c r="G47" s="13">
        <v>10</v>
      </c>
      <c r="H47" t="s">
        <v>351</v>
      </c>
    </row>
    <row r="48" spans="2:14" x14ac:dyDescent="0.35">
      <c r="B48" s="83"/>
      <c r="D48" t="s">
        <v>516</v>
      </c>
      <c r="G48" s="13">
        <f>(G47*1.2)-2.5</f>
        <v>9.5</v>
      </c>
      <c r="H48" t="s">
        <v>351</v>
      </c>
      <c r="L48" t="s">
        <v>509</v>
      </c>
      <c r="N48" t="s">
        <v>508</v>
      </c>
    </row>
    <row r="49" spans="2:11" x14ac:dyDescent="0.35">
      <c r="B49" s="83"/>
      <c r="D49" t="s">
        <v>502</v>
      </c>
      <c r="G49" s="13">
        <f>2*G48</f>
        <v>19</v>
      </c>
      <c r="H49" t="s">
        <v>351</v>
      </c>
    </row>
    <row r="50" spans="2:11" x14ac:dyDescent="0.35">
      <c r="B50" s="83"/>
    </row>
    <row r="51" spans="2:11" x14ac:dyDescent="0.35">
      <c r="B51" s="83"/>
      <c r="F51" s="3" t="s">
        <v>511</v>
      </c>
      <c r="G51" s="3" t="s">
        <v>512</v>
      </c>
      <c r="I51" s="3" t="s">
        <v>513</v>
      </c>
      <c r="J51" s="3" t="s">
        <v>514</v>
      </c>
    </row>
    <row r="52" spans="2:11" x14ac:dyDescent="0.35">
      <c r="B52" s="83"/>
      <c r="D52" t="s">
        <v>503</v>
      </c>
      <c r="F52" s="13">
        <f>G49</f>
        <v>19</v>
      </c>
      <c r="G52" s="15">
        <f>3.14*F52</f>
        <v>59.660000000000004</v>
      </c>
      <c r="H52" t="s">
        <v>0</v>
      </c>
      <c r="I52" s="13">
        <f>F52*(12/39)</f>
        <v>5.8461538461538467</v>
      </c>
      <c r="J52" s="15">
        <f>3.14*I52</f>
        <v>18.356923076923078</v>
      </c>
      <c r="K52" t="s">
        <v>0</v>
      </c>
    </row>
    <row r="53" spans="2:11" x14ac:dyDescent="0.35">
      <c r="B53" s="83"/>
      <c r="D53" t="s">
        <v>504</v>
      </c>
      <c r="F53" s="13">
        <f>F52+($G$46*2)</f>
        <v>29</v>
      </c>
      <c r="G53" s="15">
        <f t="shared" ref="G53:G54" si="0">3.14*F53</f>
        <v>91.06</v>
      </c>
      <c r="H53" t="s">
        <v>0</v>
      </c>
      <c r="I53" s="13">
        <f t="shared" ref="I53:I54" si="1">F53*(12/39)</f>
        <v>8.9230769230769234</v>
      </c>
      <c r="J53" s="15">
        <f t="shared" ref="J53:J54" si="2">3.14*I53</f>
        <v>28.018461538461541</v>
      </c>
      <c r="K53" t="s">
        <v>0</v>
      </c>
    </row>
    <row r="54" spans="2:11" ht="15" thickBot="1" x14ac:dyDescent="0.4">
      <c r="B54" s="83"/>
      <c r="D54" t="s">
        <v>505</v>
      </c>
      <c r="F54">
        <v>0</v>
      </c>
      <c r="G54" s="74">
        <f t="shared" si="0"/>
        <v>0</v>
      </c>
      <c r="I54" s="75">
        <f t="shared" si="1"/>
        <v>0</v>
      </c>
      <c r="J54" s="74">
        <f t="shared" si="2"/>
        <v>0</v>
      </c>
    </row>
    <row r="55" spans="2:11" x14ac:dyDescent="0.35">
      <c r="B55" s="83"/>
      <c r="G55" s="15">
        <f>SUM(G52:G54)</f>
        <v>150.72</v>
      </c>
      <c r="H55" t="s">
        <v>507</v>
      </c>
      <c r="I55" s="15"/>
      <c r="J55" s="15">
        <f>SUM(J52:J54)</f>
        <v>46.375384615384618</v>
      </c>
      <c r="K55" t="s">
        <v>507</v>
      </c>
    </row>
    <row r="56" spans="2:11" x14ac:dyDescent="0.35">
      <c r="B56" s="83"/>
    </row>
    <row r="57" spans="2:11" x14ac:dyDescent="0.35">
      <c r="B57" s="83" t="s">
        <v>517</v>
      </c>
    </row>
    <row r="58" spans="2:11" x14ac:dyDescent="0.35">
      <c r="B58" s="83"/>
    </row>
    <row r="59" spans="2:11" x14ac:dyDescent="0.35">
      <c r="B59" s="83"/>
      <c r="D59" t="s">
        <v>518</v>
      </c>
      <c r="G59">
        <v>0.2</v>
      </c>
      <c r="H59" t="s">
        <v>519</v>
      </c>
    </row>
    <row r="60" spans="2:11" x14ac:dyDescent="0.35">
      <c r="B60" s="83"/>
      <c r="G60">
        <f>G59*43000</f>
        <v>8600</v>
      </c>
      <c r="H60" t="s">
        <v>520</v>
      </c>
    </row>
    <row r="61" spans="2:11" x14ac:dyDescent="0.35">
      <c r="B61" s="83"/>
      <c r="G61" s="15">
        <f>SQRT(G60)</f>
        <v>92.736184954957039</v>
      </c>
      <c r="H61" t="s">
        <v>521</v>
      </c>
    </row>
    <row r="62" spans="2:11" x14ac:dyDescent="0.35">
      <c r="B62" s="83"/>
    </row>
    <row r="63" spans="2:11" x14ac:dyDescent="0.35">
      <c r="B63" s="83"/>
      <c r="D63" t="s">
        <v>354</v>
      </c>
      <c r="G63">
        <v>2000</v>
      </c>
      <c r="H63" t="s">
        <v>520</v>
      </c>
    </row>
    <row r="64" spans="2:11" x14ac:dyDescent="0.35">
      <c r="B64" s="83"/>
    </row>
    <row r="65" spans="1:11" x14ac:dyDescent="0.35">
      <c r="B65" s="83"/>
      <c r="D65" t="s">
        <v>522</v>
      </c>
      <c r="G65">
        <f>G60-G63</f>
        <v>6600</v>
      </c>
    </row>
    <row r="66" spans="1:11" x14ac:dyDescent="0.35">
      <c r="B66" s="83"/>
    </row>
    <row r="67" spans="1:11" x14ac:dyDescent="0.35">
      <c r="B67" s="83"/>
      <c r="D67" t="s">
        <v>523</v>
      </c>
      <c r="G67" s="15">
        <f>G65/G61</f>
        <v>71.169630314269355</v>
      </c>
    </row>
    <row r="68" spans="1:11" x14ac:dyDescent="0.35">
      <c r="B68" s="83"/>
    </row>
    <row r="69" spans="1:11" x14ac:dyDescent="0.35">
      <c r="B69" s="83"/>
      <c r="D69" t="s">
        <v>524</v>
      </c>
      <c r="G69" s="53">
        <v>0.6</v>
      </c>
    </row>
    <row r="70" spans="1:11" x14ac:dyDescent="0.35">
      <c r="B70" s="83"/>
    </row>
    <row r="71" spans="1:11" x14ac:dyDescent="0.35">
      <c r="B71" s="83"/>
      <c r="D71" t="s">
        <v>525</v>
      </c>
      <c r="G71" s="15">
        <f>G67-G72</f>
        <v>28.467852125707743</v>
      </c>
    </row>
    <row r="72" spans="1:11" x14ac:dyDescent="0.35">
      <c r="B72" s="83"/>
      <c r="D72" t="s">
        <v>526</v>
      </c>
      <c r="G72" s="15">
        <f>G69*G67</f>
        <v>42.701778188561612</v>
      </c>
    </row>
    <row r="73" spans="1:11" x14ac:dyDescent="0.35">
      <c r="B73" s="83"/>
    </row>
    <row r="74" spans="1:11" x14ac:dyDescent="0.35">
      <c r="B74" s="83"/>
    </row>
    <row r="75" spans="1:11" s="88" customFormat="1" x14ac:dyDescent="0.35">
      <c r="A75" s="86" t="s">
        <v>704</v>
      </c>
    </row>
    <row r="76" spans="1:11" x14ac:dyDescent="0.35">
      <c r="D76" s="83"/>
    </row>
    <row r="77" spans="1:11" ht="36.5" x14ac:dyDescent="0.35">
      <c r="B77" s="83" t="s">
        <v>799</v>
      </c>
      <c r="D77" s="83"/>
      <c r="H77" s="113" t="s">
        <v>807</v>
      </c>
      <c r="I77" s="113" t="s">
        <v>808</v>
      </c>
      <c r="K77" s="1" t="s">
        <v>798</v>
      </c>
    </row>
    <row r="78" spans="1:11" x14ac:dyDescent="0.35">
      <c r="G78" t="s">
        <v>800</v>
      </c>
      <c r="H78">
        <v>3</v>
      </c>
      <c r="I78">
        <v>2.75</v>
      </c>
    </row>
    <row r="79" spans="1:11" x14ac:dyDescent="0.35">
      <c r="G79" t="s">
        <v>351</v>
      </c>
      <c r="H79">
        <v>200</v>
      </c>
      <c r="I79">
        <v>200</v>
      </c>
    </row>
    <row r="80" spans="1:11" x14ac:dyDescent="0.35">
      <c r="G80" t="s">
        <v>801</v>
      </c>
      <c r="H80">
        <v>2</v>
      </c>
      <c r="I80">
        <v>2</v>
      </c>
    </row>
    <row r="81" spans="1:18" x14ac:dyDescent="0.35">
      <c r="G81" t="s">
        <v>69</v>
      </c>
      <c r="H81">
        <f>H80*H79*H78</f>
        <v>1200</v>
      </c>
      <c r="I81">
        <f>I80*I79*I78</f>
        <v>1100</v>
      </c>
    </row>
    <row r="82" spans="1:18" x14ac:dyDescent="0.35">
      <c r="D82" t="s">
        <v>809</v>
      </c>
      <c r="G82" t="s">
        <v>806</v>
      </c>
      <c r="H82" s="8">
        <v>1.44</v>
      </c>
      <c r="I82" s="8">
        <v>1.44</v>
      </c>
    </row>
    <row r="83" spans="1:18" x14ac:dyDescent="0.35">
      <c r="H83" s="124">
        <f>H81*H82</f>
        <v>1728</v>
      </c>
      <c r="I83" s="124">
        <f>I81*I82</f>
        <v>1584</v>
      </c>
    </row>
    <row r="84" spans="1:18" x14ac:dyDescent="0.35">
      <c r="D84" t="s">
        <v>810</v>
      </c>
      <c r="G84" t="s">
        <v>806</v>
      </c>
      <c r="H84" s="8">
        <v>0.8</v>
      </c>
      <c r="I84" s="8">
        <v>0.8</v>
      </c>
    </row>
    <row r="85" spans="1:18" x14ac:dyDescent="0.35">
      <c r="H85" s="124">
        <f>H83*H84</f>
        <v>1382.4</v>
      </c>
      <c r="I85" s="124">
        <f>I83*I84</f>
        <v>1267.2</v>
      </c>
    </row>
    <row r="87" spans="1:18" x14ac:dyDescent="0.35">
      <c r="B87" s="83" t="s">
        <v>274</v>
      </c>
    </row>
    <row r="88" spans="1:18" x14ac:dyDescent="0.35">
      <c r="D88" t="s">
        <v>805</v>
      </c>
      <c r="K88" t="s">
        <v>803</v>
      </c>
    </row>
    <row r="89" spans="1:18" x14ac:dyDescent="0.35">
      <c r="D89" t="s">
        <v>804</v>
      </c>
      <c r="K89" s="1" t="s">
        <v>802</v>
      </c>
    </row>
    <row r="91" spans="1:18" s="88" customFormat="1" x14ac:dyDescent="0.35">
      <c r="A91" s="86" t="s">
        <v>813</v>
      </c>
    </row>
    <row r="93" spans="1:18" x14ac:dyDescent="0.35">
      <c r="B93" s="83" t="s">
        <v>820</v>
      </c>
    </row>
    <row r="94" spans="1:18" ht="24.5" x14ac:dyDescent="0.35">
      <c r="H94" s="126" t="s">
        <v>816</v>
      </c>
      <c r="I94" s="126" t="s">
        <v>817</v>
      </c>
      <c r="J94" s="126" t="s">
        <v>818</v>
      </c>
      <c r="K94" s="126" t="s">
        <v>819</v>
      </c>
      <c r="L94" s="126" t="s">
        <v>821</v>
      </c>
    </row>
    <row r="95" spans="1:18" x14ac:dyDescent="0.35">
      <c r="C95" s="128" t="s">
        <v>835</v>
      </c>
      <c r="H95" s="15">
        <f>AVERAGE(1320,1529,1310, 1047)</f>
        <v>1301.5</v>
      </c>
      <c r="I95" s="15">
        <f>H95</f>
        <v>1301.5</v>
      </c>
      <c r="J95" s="15">
        <f t="shared" ref="J95:L95" si="3">I95</f>
        <v>1301.5</v>
      </c>
      <c r="K95" s="15">
        <f t="shared" si="3"/>
        <v>1301.5</v>
      </c>
      <c r="L95" s="15">
        <f t="shared" si="3"/>
        <v>1301.5</v>
      </c>
      <c r="N95" t="s">
        <v>834</v>
      </c>
      <c r="R95" t="s">
        <v>828</v>
      </c>
    </row>
    <row r="96" spans="1:18" x14ac:dyDescent="0.35">
      <c r="C96" s="128" t="s">
        <v>825</v>
      </c>
      <c r="H96" s="127">
        <v>16</v>
      </c>
      <c r="I96" s="127">
        <v>14</v>
      </c>
      <c r="J96" s="127">
        <v>10</v>
      </c>
      <c r="K96" s="127">
        <v>16</v>
      </c>
      <c r="L96" s="127">
        <v>14</v>
      </c>
      <c r="N96" t="s">
        <v>829</v>
      </c>
      <c r="R96" t="s">
        <v>828</v>
      </c>
    </row>
    <row r="97" spans="2:12" x14ac:dyDescent="0.35">
      <c r="C97" s="128" t="s">
        <v>836</v>
      </c>
      <c r="H97" s="125">
        <f>H96*H95</f>
        <v>20824</v>
      </c>
      <c r="I97" s="125">
        <f>I96*I95</f>
        <v>18221</v>
      </c>
      <c r="J97" s="125">
        <f>J96*J95</f>
        <v>13015</v>
      </c>
      <c r="K97" s="125">
        <f>K96*K95</f>
        <v>20824</v>
      </c>
      <c r="L97" s="125">
        <f>L96*L95</f>
        <v>18221</v>
      </c>
    </row>
    <row r="99" spans="2:12" x14ac:dyDescent="0.35">
      <c r="B99" s="83" t="s">
        <v>832</v>
      </c>
    </row>
    <row r="100" spans="2:12" x14ac:dyDescent="0.35">
      <c r="B100" s="83"/>
    </row>
    <row r="101" spans="2:12" x14ac:dyDescent="0.35">
      <c r="B101" s="83"/>
      <c r="C101" t="s">
        <v>827</v>
      </c>
      <c r="I101" s="1" t="s">
        <v>826</v>
      </c>
    </row>
    <row r="111" spans="2:12" x14ac:dyDescent="0.35">
      <c r="B111" s="83" t="s">
        <v>833</v>
      </c>
    </row>
    <row r="112" spans="2:12" ht="24.5" x14ac:dyDescent="0.35">
      <c r="G112" s="126" t="s">
        <v>815</v>
      </c>
    </row>
    <row r="113" spans="1:26" x14ac:dyDescent="0.35">
      <c r="C113" s="128" t="s">
        <v>814</v>
      </c>
      <c r="G113">
        <v>3</v>
      </c>
    </row>
    <row r="114" spans="1:26" x14ac:dyDescent="0.35">
      <c r="B114" s="83"/>
      <c r="C114" s="128" t="s">
        <v>822</v>
      </c>
      <c r="G114">
        <v>250</v>
      </c>
    </row>
    <row r="115" spans="1:26" x14ac:dyDescent="0.35">
      <c r="B115" s="83"/>
      <c r="C115" s="128" t="s">
        <v>823</v>
      </c>
      <c r="G115">
        <v>2</v>
      </c>
    </row>
    <row r="116" spans="1:26" x14ac:dyDescent="0.35">
      <c r="B116" s="83"/>
      <c r="C116" s="128" t="s">
        <v>824</v>
      </c>
      <c r="G116">
        <f>G115*G114*G113</f>
        <v>1500</v>
      </c>
      <c r="I116" t="s">
        <v>831</v>
      </c>
    </row>
    <row r="117" spans="1:26" x14ac:dyDescent="0.35">
      <c r="B117" s="83"/>
      <c r="C117" s="128"/>
    </row>
    <row r="118" spans="1:26" s="88" customFormat="1" x14ac:dyDescent="0.35">
      <c r="A118" s="86" t="s">
        <v>2818</v>
      </c>
    </row>
    <row r="119" spans="1:26" x14ac:dyDescent="0.35">
      <c r="B119" s="83"/>
      <c r="C119" s="128"/>
    </row>
    <row r="120" spans="1:26" x14ac:dyDescent="0.35">
      <c r="B120" s="83" t="s">
        <v>2817</v>
      </c>
      <c r="C120" s="128"/>
      <c r="X120" s="126" t="s">
        <v>2847</v>
      </c>
      <c r="Y120" s="126" t="s">
        <v>2848</v>
      </c>
      <c r="Z120" s="126" t="s">
        <v>2849</v>
      </c>
    </row>
    <row r="121" spans="1:26" x14ac:dyDescent="0.35">
      <c r="B121" s="83"/>
      <c r="C121" s="128"/>
      <c r="X121">
        <v>3</v>
      </c>
      <c r="Y121">
        <v>6</v>
      </c>
      <c r="Z121" s="13">
        <f>((Y121/2)^2) / ((X121/2)^2)</f>
        <v>4</v>
      </c>
    </row>
    <row r="122" spans="1:26" x14ac:dyDescent="0.35">
      <c r="B122" s="83"/>
      <c r="C122" s="128" t="s">
        <v>2812</v>
      </c>
      <c r="I122" s="1" t="s">
        <v>2814</v>
      </c>
      <c r="O122" t="s">
        <v>2813</v>
      </c>
    </row>
    <row r="123" spans="1:26" x14ac:dyDescent="0.35">
      <c r="B123" s="83"/>
      <c r="C123" s="128" t="s">
        <v>796</v>
      </c>
      <c r="I123" s="1" t="s">
        <v>797</v>
      </c>
    </row>
    <row r="124" spans="1:26" x14ac:dyDescent="0.35">
      <c r="C124" t="s">
        <v>2816</v>
      </c>
      <c r="I124" s="1" t="s">
        <v>2815</v>
      </c>
    </row>
    <row r="125" spans="1:26" x14ac:dyDescent="0.35">
      <c r="I125" s="1"/>
    </row>
    <row r="126" spans="1:26" x14ac:dyDescent="0.35">
      <c r="B126" s="83" t="s">
        <v>2835</v>
      </c>
      <c r="I126" s="83" t="s">
        <v>0</v>
      </c>
      <c r="O126" t="s">
        <v>1379</v>
      </c>
      <c r="R126" s="1" t="s">
        <v>1378</v>
      </c>
    </row>
    <row r="127" spans="1:26" x14ac:dyDescent="0.35">
      <c r="B127" s="83"/>
      <c r="I127" s="83"/>
      <c r="R127" s="1"/>
    </row>
    <row r="128" spans="1:26" ht="38" customHeight="1" x14ac:dyDescent="0.35">
      <c r="B128" s="83"/>
      <c r="C128" s="4"/>
      <c r="D128" s="4"/>
      <c r="E128" s="126" t="s">
        <v>1380</v>
      </c>
      <c r="F128" s="126" t="s">
        <v>1381</v>
      </c>
      <c r="G128" s="126" t="s">
        <v>2820</v>
      </c>
      <c r="I128" s="126" t="s">
        <v>2821</v>
      </c>
      <c r="J128" s="126" t="s">
        <v>2822</v>
      </c>
      <c r="K128" s="126" t="s">
        <v>2823</v>
      </c>
      <c r="M128" s="126" t="s">
        <v>2834</v>
      </c>
      <c r="N128" s="126" t="s">
        <v>2838</v>
      </c>
      <c r="O128" s="126" t="s">
        <v>2836</v>
      </c>
      <c r="P128" s="126" t="s">
        <v>2837</v>
      </c>
      <c r="Q128" s="126" t="s">
        <v>2839</v>
      </c>
    </row>
    <row r="129" spans="2:24" x14ac:dyDescent="0.35">
      <c r="B129" s="83"/>
      <c r="C129" t="s">
        <v>1368</v>
      </c>
      <c r="E129" s="162">
        <v>1000</v>
      </c>
      <c r="F129" s="15">
        <f t="shared" ref="F129:F131" si="4">0.062428*E129</f>
        <v>62.427999999999997</v>
      </c>
      <c r="G129" s="12">
        <f>F129/(12^3)</f>
        <v>3.6127314814814813E-2</v>
      </c>
      <c r="I129">
        <v>30</v>
      </c>
      <c r="J129">
        <f>12*I129</f>
        <v>360</v>
      </c>
      <c r="K129" s="13">
        <f>J129*G129</f>
        <v>13.005833333333333</v>
      </c>
      <c r="M129">
        <v>3</v>
      </c>
      <c r="N129" s="13">
        <f>3.14*((M129/2)^2)</f>
        <v>7.0650000000000004</v>
      </c>
      <c r="O129" s="15">
        <f>N129*K129</f>
        <v>91.886212499999999</v>
      </c>
      <c r="P129" s="15">
        <f>O129*4.4</f>
        <v>404.29933500000004</v>
      </c>
      <c r="Q129" s="13">
        <f>P129/1000</f>
        <v>0.40429933500000004</v>
      </c>
    </row>
    <row r="130" spans="2:24" x14ac:dyDescent="0.35">
      <c r="B130" s="83"/>
      <c r="C130" t="s">
        <v>1367</v>
      </c>
      <c r="E130" s="162">
        <v>2400</v>
      </c>
      <c r="F130" s="15">
        <f t="shared" si="4"/>
        <v>149.8272</v>
      </c>
      <c r="G130" s="12">
        <f t="shared" ref="G130:G132" si="5">F130/(12^3)</f>
        <v>8.6705555555555563E-2</v>
      </c>
      <c r="I130">
        <v>30</v>
      </c>
      <c r="J130">
        <f t="shared" ref="J130:J132" si="6">12*I130</f>
        <v>360</v>
      </c>
      <c r="K130" s="13">
        <f t="shared" ref="K130:K131" si="7">J130*G130</f>
        <v>31.214000000000002</v>
      </c>
      <c r="M130">
        <v>3</v>
      </c>
      <c r="N130" s="13">
        <f t="shared" ref="N130:N132" si="8">3.14*((M130/2)^2)</f>
        <v>7.0650000000000004</v>
      </c>
      <c r="O130" s="15">
        <f t="shared" ref="O130:O131" si="9">N130*K130</f>
        <v>220.52691000000002</v>
      </c>
      <c r="P130" s="15">
        <f t="shared" ref="P130:P132" si="10">O130*4.4</f>
        <v>970.3184040000001</v>
      </c>
      <c r="Q130" s="13">
        <f t="shared" ref="Q130:Q132" si="11">P130/1000</f>
        <v>0.97031840400000013</v>
      </c>
    </row>
    <row r="131" spans="2:24" x14ac:dyDescent="0.35">
      <c r="B131" s="83"/>
      <c r="C131" t="s">
        <v>2819</v>
      </c>
      <c r="E131" s="162">
        <v>7870</v>
      </c>
      <c r="F131" s="15">
        <f t="shared" si="4"/>
        <v>491.30835999999999</v>
      </c>
      <c r="G131" s="12">
        <f t="shared" si="5"/>
        <v>0.28432196759259259</v>
      </c>
      <c r="I131">
        <v>30</v>
      </c>
      <c r="J131">
        <f t="shared" si="6"/>
        <v>360</v>
      </c>
      <c r="K131" s="13">
        <f t="shared" si="7"/>
        <v>102.35590833333333</v>
      </c>
      <c r="M131">
        <v>3</v>
      </c>
      <c r="N131" s="13">
        <f t="shared" si="8"/>
        <v>7.0650000000000004</v>
      </c>
      <c r="O131" s="15">
        <f t="shared" si="9"/>
        <v>723.14449237500003</v>
      </c>
      <c r="P131" s="15">
        <f t="shared" si="10"/>
        <v>3181.8357664500004</v>
      </c>
      <c r="Q131" s="13">
        <f t="shared" si="11"/>
        <v>3.1818357664500003</v>
      </c>
    </row>
    <row r="132" spans="2:24" x14ac:dyDescent="0.35">
      <c r="B132" s="83"/>
      <c r="C132" t="s">
        <v>2819</v>
      </c>
      <c r="E132" s="162">
        <v>7870</v>
      </c>
      <c r="F132" s="15">
        <f t="shared" ref="F132" si="12">0.062428*E132</f>
        <v>491.30835999999999</v>
      </c>
      <c r="G132" s="12">
        <f t="shared" si="5"/>
        <v>0.28432196759259259</v>
      </c>
      <c r="I132">
        <v>30</v>
      </c>
      <c r="J132">
        <f t="shared" si="6"/>
        <v>360</v>
      </c>
      <c r="K132" s="13">
        <f t="shared" ref="K132" si="13">J132*G132</f>
        <v>102.35590833333333</v>
      </c>
      <c r="M132" s="170">
        <v>6</v>
      </c>
      <c r="N132" s="13">
        <f t="shared" si="8"/>
        <v>28.26</v>
      </c>
      <c r="O132" s="15">
        <f t="shared" ref="O132" si="14">N132*K132</f>
        <v>2892.5779695000001</v>
      </c>
      <c r="P132" s="15">
        <f t="shared" si="10"/>
        <v>12727.343065800002</v>
      </c>
      <c r="Q132" s="13">
        <f t="shared" si="11"/>
        <v>12.727343065800001</v>
      </c>
    </row>
    <row r="133" spans="2:24" x14ac:dyDescent="0.35">
      <c r="B133" s="83"/>
    </row>
    <row r="134" spans="2:24" x14ac:dyDescent="0.35">
      <c r="B134" s="83" t="s">
        <v>2824</v>
      </c>
    </row>
    <row r="135" spans="2:24" x14ac:dyDescent="0.35">
      <c r="C135" t="s">
        <v>2826</v>
      </c>
      <c r="O135" s="1" t="s">
        <v>2825</v>
      </c>
    </row>
    <row r="136" spans="2:24" x14ac:dyDescent="0.35">
      <c r="C136" t="s">
        <v>2948</v>
      </c>
      <c r="O136" s="1" t="s">
        <v>2827</v>
      </c>
    </row>
    <row r="137" spans="2:24" x14ac:dyDescent="0.35">
      <c r="C137" t="s">
        <v>2829</v>
      </c>
      <c r="O137" s="1" t="s">
        <v>2828</v>
      </c>
    </row>
    <row r="138" spans="2:24" x14ac:dyDescent="0.35">
      <c r="C138" t="s">
        <v>2831</v>
      </c>
      <c r="N138" t="s">
        <v>0</v>
      </c>
      <c r="O138" s="1" t="s">
        <v>2830</v>
      </c>
      <c r="X138" t="s">
        <v>2841</v>
      </c>
    </row>
    <row r="139" spans="2:24" x14ac:dyDescent="0.35">
      <c r="C139" t="s">
        <v>2833</v>
      </c>
      <c r="I139" s="1"/>
      <c r="O139" s="1" t="s">
        <v>2832</v>
      </c>
      <c r="V139" t="s">
        <v>0</v>
      </c>
      <c r="X139" t="s">
        <v>2840</v>
      </c>
    </row>
    <row r="140" spans="2:24" x14ac:dyDescent="0.35">
      <c r="C140" t="s">
        <v>2843</v>
      </c>
      <c r="I140" s="1"/>
      <c r="O140" s="1" t="s">
        <v>2842</v>
      </c>
    </row>
    <row r="141" spans="2:24" x14ac:dyDescent="0.35">
      <c r="C141" t="s">
        <v>2845</v>
      </c>
      <c r="O141" s="1" t="s">
        <v>2844</v>
      </c>
      <c r="T141" t="s">
        <v>2852</v>
      </c>
      <c r="X141" t="s">
        <v>2846</v>
      </c>
    </row>
    <row r="142" spans="2:24" x14ac:dyDescent="0.35">
      <c r="C142" t="s">
        <v>2851</v>
      </c>
      <c r="O142" s="1" t="s">
        <v>2850</v>
      </c>
    </row>
    <row r="145" spans="1:9" s="88" customFormat="1" x14ac:dyDescent="0.35">
      <c r="A145" s="86" t="s">
        <v>842</v>
      </c>
    </row>
    <row r="147" spans="1:9" x14ac:dyDescent="0.35">
      <c r="B147" s="83" t="s">
        <v>843</v>
      </c>
      <c r="F147" t="s">
        <v>0</v>
      </c>
    </row>
    <row r="148" spans="1:9" x14ac:dyDescent="0.35">
      <c r="C148" t="s">
        <v>844</v>
      </c>
      <c r="G148">
        <v>200</v>
      </c>
    </row>
    <row r="149" spans="1:9" x14ac:dyDescent="0.35">
      <c r="C149" t="s">
        <v>845</v>
      </c>
      <c r="G149">
        <v>3</v>
      </c>
    </row>
    <row r="150" spans="1:9" x14ac:dyDescent="0.35">
      <c r="C150" t="s">
        <v>846</v>
      </c>
      <c r="G150" s="31">
        <f>(G149^2)*3.14*G148</f>
        <v>5652</v>
      </c>
      <c r="I150" t="s">
        <v>847</v>
      </c>
    </row>
    <row r="151" spans="1:9" x14ac:dyDescent="0.35">
      <c r="C151" t="s">
        <v>856</v>
      </c>
      <c r="G151" s="31">
        <f>G150/(3*3*3)</f>
        <v>209.33333333333334</v>
      </c>
    </row>
    <row r="153" spans="1:9" x14ac:dyDescent="0.35">
      <c r="B153" s="83" t="s">
        <v>851</v>
      </c>
    </row>
    <row r="154" spans="1:9" x14ac:dyDescent="0.35">
      <c r="C154" t="s">
        <v>848</v>
      </c>
      <c r="G154">
        <v>8</v>
      </c>
    </row>
    <row r="155" spans="1:9" x14ac:dyDescent="0.35">
      <c r="C155" t="s">
        <v>849</v>
      </c>
      <c r="G155" s="53">
        <v>0.15</v>
      </c>
    </row>
    <row r="156" spans="1:9" x14ac:dyDescent="0.35">
      <c r="C156" t="s">
        <v>850</v>
      </c>
      <c r="G156">
        <f>G155*G154</f>
        <v>1.2</v>
      </c>
    </row>
    <row r="157" spans="1:9" x14ac:dyDescent="0.35">
      <c r="C157" t="s">
        <v>852</v>
      </c>
      <c r="G157" s="31">
        <f>G156*G150</f>
        <v>6782.4</v>
      </c>
    </row>
    <row r="158" spans="1:9" x14ac:dyDescent="0.35">
      <c r="C158" t="s">
        <v>854</v>
      </c>
      <c r="G158">
        <f>3/750</f>
        <v>4.0000000000000001E-3</v>
      </c>
    </row>
    <row r="159" spans="1:9" x14ac:dyDescent="0.35">
      <c r="C159" t="s">
        <v>855</v>
      </c>
      <c r="G159" s="8">
        <f>G158*G157</f>
        <v>27.1296</v>
      </c>
      <c r="I159" t="s">
        <v>853</v>
      </c>
    </row>
    <row r="161" spans="2:9" x14ac:dyDescent="0.35">
      <c r="B161" s="83" t="s">
        <v>857</v>
      </c>
    </row>
    <row r="162" spans="2:9" x14ac:dyDescent="0.35">
      <c r="C162" t="s">
        <v>859</v>
      </c>
      <c r="I162" t="s">
        <v>858</v>
      </c>
    </row>
    <row r="163" spans="2:9" x14ac:dyDescent="0.35">
      <c r="C163" t="s">
        <v>861</v>
      </c>
      <c r="I163" t="s">
        <v>860</v>
      </c>
    </row>
    <row r="164" spans="2:9" x14ac:dyDescent="0.35">
      <c r="I164" t="s">
        <v>862</v>
      </c>
    </row>
    <row r="165" spans="2:9" x14ac:dyDescent="0.35">
      <c r="C165" t="s">
        <v>864</v>
      </c>
      <c r="I165" t="s">
        <v>863</v>
      </c>
    </row>
    <row r="166" spans="2:9" x14ac:dyDescent="0.35">
      <c r="C166" t="s">
        <v>866</v>
      </c>
      <c r="I166" t="s">
        <v>865</v>
      </c>
    </row>
    <row r="168" spans="2:9" x14ac:dyDescent="0.35">
      <c r="B168" s="83" t="s">
        <v>868</v>
      </c>
    </row>
    <row r="169" spans="2:9" x14ac:dyDescent="0.35">
      <c r="C169" t="s">
        <v>869</v>
      </c>
      <c r="I169" s="1" t="s">
        <v>867</v>
      </c>
    </row>
    <row r="170" spans="2:9" x14ac:dyDescent="0.35">
      <c r="I170" s="1"/>
    </row>
    <row r="171" spans="2:9" x14ac:dyDescent="0.35">
      <c r="B171" s="83" t="s">
        <v>884</v>
      </c>
      <c r="I171" s="1"/>
    </row>
    <row r="172" spans="2:9" x14ac:dyDescent="0.35">
      <c r="C172" t="s">
        <v>871</v>
      </c>
      <c r="I172" s="1" t="s">
        <v>870</v>
      </c>
    </row>
    <row r="173" spans="2:9" x14ac:dyDescent="0.35">
      <c r="C173" t="s">
        <v>873</v>
      </c>
      <c r="I173" s="1" t="s">
        <v>872</v>
      </c>
    </row>
    <row r="174" spans="2:9" x14ac:dyDescent="0.35">
      <c r="C174" t="s">
        <v>875</v>
      </c>
      <c r="I174" s="1" t="s">
        <v>874</v>
      </c>
    </row>
    <row r="175" spans="2:9" x14ac:dyDescent="0.35">
      <c r="C175" t="s">
        <v>876</v>
      </c>
      <c r="I175" s="1" t="s">
        <v>870</v>
      </c>
    </row>
    <row r="176" spans="2:9" x14ac:dyDescent="0.35">
      <c r="I176" s="1"/>
    </row>
    <row r="177" spans="1:9" x14ac:dyDescent="0.35">
      <c r="B177" s="83" t="s">
        <v>883</v>
      </c>
      <c r="I177" s="1"/>
    </row>
    <row r="178" spans="1:9" x14ac:dyDescent="0.35">
      <c r="C178" t="s">
        <v>878</v>
      </c>
      <c r="I178" s="1" t="s">
        <v>877</v>
      </c>
    </row>
    <row r="179" spans="1:9" x14ac:dyDescent="0.35">
      <c r="C179" t="s">
        <v>880</v>
      </c>
      <c r="I179" s="1" t="s">
        <v>879</v>
      </c>
    </row>
    <row r="180" spans="1:9" x14ac:dyDescent="0.35">
      <c r="C180" t="s">
        <v>882</v>
      </c>
      <c r="I180" s="1" t="s">
        <v>881</v>
      </c>
    </row>
    <row r="181" spans="1:9" x14ac:dyDescent="0.35">
      <c r="C181" t="s">
        <v>886</v>
      </c>
      <c r="I181" s="1" t="s">
        <v>885</v>
      </c>
    </row>
    <row r="182" spans="1:9" x14ac:dyDescent="0.35">
      <c r="C182" t="s">
        <v>888</v>
      </c>
      <c r="I182" s="1" t="s">
        <v>887</v>
      </c>
    </row>
    <row r="184" spans="1:9" x14ac:dyDescent="0.35">
      <c r="B184" s="83" t="s">
        <v>890</v>
      </c>
      <c r="I184" s="1" t="s">
        <v>889</v>
      </c>
    </row>
    <row r="186" spans="1:9" x14ac:dyDescent="0.35">
      <c r="B186" s="83" t="s">
        <v>895</v>
      </c>
      <c r="C186" t="s">
        <v>896</v>
      </c>
      <c r="I186" s="1" t="s">
        <v>894</v>
      </c>
    </row>
    <row r="188" spans="1:9" s="88" customFormat="1" x14ac:dyDescent="0.35">
      <c r="A188" s="86" t="s">
        <v>1299</v>
      </c>
    </row>
    <row r="190" spans="1:9" x14ac:dyDescent="0.35">
      <c r="B190" s="83" t="s">
        <v>1300</v>
      </c>
      <c r="C190" t="s">
        <v>1305</v>
      </c>
      <c r="I190" s="1" t="s">
        <v>1304</v>
      </c>
    </row>
    <row r="192" spans="1:9" x14ac:dyDescent="0.35">
      <c r="B192" s="83" t="s">
        <v>1301</v>
      </c>
      <c r="C192" t="s">
        <v>1303</v>
      </c>
      <c r="I192" s="1" t="s">
        <v>1302</v>
      </c>
    </row>
    <row r="194" spans="2:9" x14ac:dyDescent="0.35">
      <c r="B194" s="83" t="s">
        <v>1307</v>
      </c>
      <c r="C194" t="s">
        <v>1308</v>
      </c>
      <c r="I194" s="1" t="s">
        <v>1306</v>
      </c>
    </row>
  </sheetData>
  <hyperlinks>
    <hyperlink ref="M3" r:id="rId1"/>
    <hyperlink ref="K89" r:id="rId2"/>
    <hyperlink ref="K77" r:id="rId3"/>
    <hyperlink ref="I101" r:id="rId4"/>
    <hyperlink ref="M22" r:id="rId5"/>
    <hyperlink ref="I169" r:id="rId6"/>
    <hyperlink ref="I172" r:id="rId7"/>
    <hyperlink ref="I173" r:id="rId8"/>
    <hyperlink ref="I174" r:id="rId9"/>
    <hyperlink ref="I175" r:id="rId10"/>
    <hyperlink ref="I178" r:id="rId11"/>
    <hyperlink ref="I179" r:id="rId12"/>
    <hyperlink ref="I180" r:id="rId13"/>
    <hyperlink ref="I181" r:id="rId14"/>
    <hyperlink ref="I182" r:id="rId15"/>
    <hyperlink ref="I184" r:id="rId16" location="imgrc=DNmMFVwsSumXCM:" display="https://www.google.com/search?q=how+deep+is+frost+line&amp;rlz=1C1CHBF_enUS816US816&amp;tbm=isch&amp;source=iu&amp;ictx=1&amp;fir=DNmMFVwsSumXCM%253A%252CLXxr7vtWcT7N-M%252C_&amp;vet=1&amp;usg=AI4_-kTIZp4VSmlua_hfOActrea8aONf-w&amp;sa=X&amp;ved=2ahUKEwjz6ZCHkpvhAhWkY98KHaozCfsQ9QEwAHoECAwQCA - imgrc=DNmMFVwsSumXCM:"/>
    <hyperlink ref="N42" r:id="rId17"/>
    <hyperlink ref="N43" r:id="rId18"/>
    <hyperlink ref="I186" r:id="rId19"/>
    <hyperlink ref="I192" r:id="rId20"/>
    <hyperlink ref="I190" r:id="rId21"/>
    <hyperlink ref="I194" r:id="rId22" display="http://articles.adsabs.harvard.edu/full/1989ESASP.302...95M/0000110.000.html"/>
    <hyperlink ref="I122" r:id="rId23"/>
    <hyperlink ref="I123" r:id="rId24"/>
    <hyperlink ref="I124" r:id="rId25"/>
    <hyperlink ref="R126" r:id="rId26"/>
    <hyperlink ref="O135" r:id="rId27"/>
    <hyperlink ref="O136" r:id="rId28"/>
    <hyperlink ref="O137" r:id="rId29"/>
    <hyperlink ref="O138" r:id="rId30"/>
    <hyperlink ref="O139" r:id="rId31" display="https://www.atlascopco.com/content/dam/atlas-copco/mining-and-rock-excavation-technique/drilling-solutions/documents/Deep Hole Drilling.pdf"/>
    <hyperlink ref="O140" r:id="rId32"/>
    <hyperlink ref="O142" r:id="rId33"/>
    <hyperlink ref="O141" r:id="rId34"/>
  </hyperlinks>
  <pageMargins left="0.7" right="0.7" top="0.75" bottom="0.75" header="0.3" footer="0.3"/>
  <pageSetup orientation="portrait" r:id="rId35"/>
  <drawing r:id="rId3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1456"/>
  <sheetViews>
    <sheetView topLeftCell="A41" workbookViewId="0">
      <selection activeCell="L69" sqref="L69"/>
    </sheetView>
  </sheetViews>
  <sheetFormatPr defaultRowHeight="14.5" x14ac:dyDescent="0.35"/>
  <cols>
    <col min="1" max="1" width="8.7265625" style="87"/>
    <col min="2" max="2" width="8.7265625" style="83"/>
    <col min="9" max="9" width="8.7265625" customWidth="1"/>
  </cols>
  <sheetData>
    <row r="1" spans="1:10" s="5" customFormat="1" x14ac:dyDescent="0.35">
      <c r="A1" s="86" t="s">
        <v>9226</v>
      </c>
      <c r="B1" s="84"/>
    </row>
    <row r="2" spans="1:10" s="2" customFormat="1" x14ac:dyDescent="0.35">
      <c r="A2" s="93"/>
      <c r="B2" s="85"/>
    </row>
    <row r="3" spans="1:10" s="2" customFormat="1" x14ac:dyDescent="0.35">
      <c r="A3" s="93"/>
      <c r="B3" s="85" t="s">
        <v>2625</v>
      </c>
      <c r="H3" s="963">
        <v>4</v>
      </c>
      <c r="I3" s="2" t="s">
        <v>9233</v>
      </c>
      <c r="J3" s="2" t="s">
        <v>9234</v>
      </c>
    </row>
    <row r="4" spans="1:10" s="2" customFormat="1" x14ac:dyDescent="0.35">
      <c r="A4" s="93"/>
      <c r="B4" s="85"/>
      <c r="H4" s="963" t="s">
        <v>9235</v>
      </c>
      <c r="J4" s="2" t="s">
        <v>9236</v>
      </c>
    </row>
    <row r="5" spans="1:10" s="2" customFormat="1" x14ac:dyDescent="0.35">
      <c r="A5" s="93"/>
      <c r="B5" s="85"/>
      <c r="H5" s="963">
        <v>3</v>
      </c>
      <c r="I5" s="2" t="s">
        <v>1832</v>
      </c>
      <c r="J5" s="2" t="s">
        <v>9290</v>
      </c>
    </row>
    <row r="6" spans="1:10" s="2" customFormat="1" x14ac:dyDescent="0.35">
      <c r="A6" s="93"/>
      <c r="B6" s="85"/>
      <c r="H6" s="963">
        <v>1</v>
      </c>
      <c r="I6" s="2" t="s">
        <v>1832</v>
      </c>
      <c r="J6" s="2" t="s">
        <v>9291</v>
      </c>
    </row>
    <row r="7" spans="1:10" s="2" customFormat="1" x14ac:dyDescent="0.35">
      <c r="A7" s="93"/>
      <c r="B7" s="85"/>
      <c r="H7" s="963">
        <v>32</v>
      </c>
      <c r="J7" s="2" t="s">
        <v>9232</v>
      </c>
    </row>
    <row r="8" spans="1:10" s="2" customFormat="1" x14ac:dyDescent="0.35">
      <c r="A8" s="93"/>
      <c r="B8" s="85"/>
      <c r="H8" s="963">
        <v>9000</v>
      </c>
      <c r="I8" s="2" t="s">
        <v>232</v>
      </c>
      <c r="J8" s="2" t="s">
        <v>9292</v>
      </c>
    </row>
    <row r="9" spans="1:10" s="2" customFormat="1" x14ac:dyDescent="0.35">
      <c r="A9" s="93"/>
      <c r="B9" s="85"/>
    </row>
    <row r="10" spans="1:10" s="2" customFormat="1" x14ac:dyDescent="0.35">
      <c r="A10" s="93"/>
      <c r="B10" s="85" t="s">
        <v>9237</v>
      </c>
      <c r="E10" s="2" t="s">
        <v>9200</v>
      </c>
      <c r="G10" s="2" t="s">
        <v>2</v>
      </c>
      <c r="H10" s="963">
        <v>16</v>
      </c>
    </row>
    <row r="11" spans="1:10" s="2" customFormat="1" x14ac:dyDescent="0.35">
      <c r="A11" s="93"/>
      <c r="B11" s="85"/>
      <c r="E11" s="2" t="s">
        <v>9199</v>
      </c>
      <c r="G11" s="2" t="s">
        <v>40</v>
      </c>
      <c r="H11" s="963">
        <v>330</v>
      </c>
    </row>
    <row r="12" spans="1:10" s="2" customFormat="1" x14ac:dyDescent="0.35">
      <c r="A12" s="93"/>
      <c r="B12" s="85"/>
    </row>
    <row r="13" spans="1:10" s="2" customFormat="1" x14ac:dyDescent="0.35">
      <c r="A13" s="93"/>
      <c r="B13" s="85" t="s">
        <v>9238</v>
      </c>
      <c r="E13" s="2" t="s">
        <v>9198</v>
      </c>
      <c r="G13" s="2" t="s">
        <v>40</v>
      </c>
      <c r="H13" s="963">
        <v>33</v>
      </c>
    </row>
    <row r="14" spans="1:10" s="2" customFormat="1" x14ac:dyDescent="0.35">
      <c r="A14" s="93"/>
      <c r="B14" s="85"/>
    </row>
    <row r="15" spans="1:10" s="2" customFormat="1" x14ac:dyDescent="0.35">
      <c r="A15" s="93"/>
      <c r="B15" s="85" t="s">
        <v>9193</v>
      </c>
      <c r="E15" s="2" t="s">
        <v>51</v>
      </c>
      <c r="G15" s="2" t="s">
        <v>2</v>
      </c>
      <c r="H15" s="962">
        <v>3.3</v>
      </c>
    </row>
    <row r="16" spans="1:10" s="2" customFormat="1" x14ac:dyDescent="0.35">
      <c r="A16" s="93"/>
      <c r="B16" s="85"/>
      <c r="E16" s="2" t="s">
        <v>9269</v>
      </c>
      <c r="G16" s="2" t="s">
        <v>2</v>
      </c>
      <c r="H16" s="221">
        <f>H15-0.1</f>
        <v>3.1999999999999997</v>
      </c>
    </row>
    <row r="17" spans="1:11" s="2" customFormat="1" x14ac:dyDescent="0.35">
      <c r="A17" s="93"/>
      <c r="B17" s="85"/>
      <c r="E17" s="2" t="s">
        <v>9271</v>
      </c>
      <c r="G17" s="2" t="s">
        <v>2</v>
      </c>
      <c r="H17" s="962">
        <v>1.5</v>
      </c>
    </row>
    <row r="18" spans="1:11" s="2" customFormat="1" x14ac:dyDescent="0.35">
      <c r="A18" s="93"/>
      <c r="B18" s="85"/>
      <c r="E18" s="2" t="s">
        <v>9272</v>
      </c>
      <c r="G18" s="2" t="s">
        <v>2</v>
      </c>
      <c r="H18" s="221">
        <f>G36+H17</f>
        <v>17</v>
      </c>
    </row>
    <row r="19" spans="1:11" s="2" customFormat="1" x14ac:dyDescent="0.35">
      <c r="A19" s="93"/>
      <c r="B19" s="85"/>
    </row>
    <row r="20" spans="1:11" s="2" customFormat="1" x14ac:dyDescent="0.35">
      <c r="A20" s="93"/>
      <c r="B20" s="85" t="s">
        <v>9270</v>
      </c>
      <c r="E20" s="2" t="s">
        <v>9205</v>
      </c>
      <c r="G20" s="2" t="s">
        <v>1167</v>
      </c>
      <c r="H20" s="221">
        <f>H16/H18</f>
        <v>0.18823529411764706</v>
      </c>
    </row>
    <row r="21" spans="1:11" s="2" customFormat="1" x14ac:dyDescent="0.35">
      <c r="A21" s="93"/>
      <c r="E21" s="2" t="s">
        <v>9201</v>
      </c>
      <c r="G21" s="2" t="s">
        <v>40</v>
      </c>
      <c r="H21" s="964">
        <v>100000</v>
      </c>
    </row>
    <row r="22" spans="1:11" s="2" customFormat="1" x14ac:dyDescent="0.35">
      <c r="A22" s="93"/>
      <c r="B22" s="85"/>
      <c r="E22" s="2" t="s">
        <v>9202</v>
      </c>
      <c r="G22" s="2" t="s">
        <v>40</v>
      </c>
      <c r="H22" s="969">
        <f>-H16*H21/(H16-H18)</f>
        <v>23188.405797101448</v>
      </c>
      <c r="J22" s="2" t="s">
        <v>9273</v>
      </c>
      <c r="K22" s="244">
        <f>H18*H22/(H21+H22)</f>
        <v>3.2</v>
      </c>
    </row>
    <row r="23" spans="1:11" s="2" customFormat="1" x14ac:dyDescent="0.35">
      <c r="A23" s="93"/>
      <c r="B23" s="85"/>
      <c r="E23" s="2" t="s">
        <v>9243</v>
      </c>
      <c r="G23" s="2" t="s">
        <v>201</v>
      </c>
      <c r="H23" s="221">
        <f>1000*(H10^2)/(H21+H22)</f>
        <v>2.0781176470588236</v>
      </c>
    </row>
    <row r="24" spans="1:11" s="2" customFormat="1" x14ac:dyDescent="0.35">
      <c r="A24" s="93"/>
      <c r="B24" s="85"/>
      <c r="H24" s="221"/>
    </row>
    <row r="25" spans="1:11" s="2" customFormat="1" x14ac:dyDescent="0.35">
      <c r="A25" s="93"/>
      <c r="B25" s="85" t="s">
        <v>9293</v>
      </c>
      <c r="E25" s="2" t="s">
        <v>9294</v>
      </c>
      <c r="G25" s="2" t="s">
        <v>148</v>
      </c>
      <c r="H25" s="221">
        <v>0.5</v>
      </c>
    </row>
    <row r="26" spans="1:11" s="2" customFormat="1" x14ac:dyDescent="0.35">
      <c r="A26" s="93"/>
      <c r="B26" s="85"/>
      <c r="E26" s="2" t="s">
        <v>9295</v>
      </c>
      <c r="G26" s="2" t="s">
        <v>4156</v>
      </c>
      <c r="H26" s="221">
        <f>1/(6.28*H25)</f>
        <v>0.31847133757961782</v>
      </c>
    </row>
    <row r="27" spans="1:11" s="2" customFormat="1" x14ac:dyDescent="0.35">
      <c r="A27" s="93"/>
      <c r="B27" s="85"/>
      <c r="E27" s="2" t="s">
        <v>9296</v>
      </c>
      <c r="G27" s="2" t="s">
        <v>232</v>
      </c>
      <c r="H27" s="221">
        <f>((H25*0.000001)/H21)*1000000000000</f>
        <v>5</v>
      </c>
    </row>
    <row r="28" spans="1:11" s="2" customFormat="1" x14ac:dyDescent="0.35">
      <c r="A28" s="93"/>
      <c r="B28" s="85"/>
      <c r="H28" s="221"/>
    </row>
    <row r="29" spans="1:11" s="2" customFormat="1" x14ac:dyDescent="0.35">
      <c r="A29" s="93"/>
      <c r="B29" s="85" t="s">
        <v>9219</v>
      </c>
      <c r="E29" s="2" t="s">
        <v>9218</v>
      </c>
      <c r="G29" s="2" t="s">
        <v>1834</v>
      </c>
      <c r="H29" s="246">
        <f>1000*H10/(H11+H13)</f>
        <v>44.077134986225893</v>
      </c>
    </row>
    <row r="30" spans="1:11" s="2" customFormat="1" x14ac:dyDescent="0.35">
      <c r="A30" s="93"/>
      <c r="B30" s="85"/>
      <c r="E30" s="2" t="s">
        <v>9219</v>
      </c>
      <c r="G30" s="2" t="s">
        <v>201</v>
      </c>
      <c r="H30" s="246">
        <f>H29*H10</f>
        <v>705.23415977961429</v>
      </c>
    </row>
    <row r="31" spans="1:11" s="2" customFormat="1" x14ac:dyDescent="0.35">
      <c r="A31" s="93"/>
      <c r="B31" s="85"/>
      <c r="E31" s="2" t="s">
        <v>9220</v>
      </c>
      <c r="G31" s="2" t="str">
        <f>"%"</f>
        <v>%</v>
      </c>
      <c r="H31" s="959">
        <v>0.01</v>
      </c>
    </row>
    <row r="32" spans="1:11" s="2" customFormat="1" x14ac:dyDescent="0.35">
      <c r="A32" s="93"/>
      <c r="B32" s="85"/>
      <c r="E32" s="2" t="s">
        <v>9221</v>
      </c>
      <c r="G32" s="2" t="s">
        <v>201</v>
      </c>
      <c r="H32" s="246">
        <f>H31*H30</f>
        <v>7.0523415977961434</v>
      </c>
    </row>
    <row r="33" spans="1:13" s="2" customFormat="1" x14ac:dyDescent="0.35">
      <c r="A33" s="93"/>
      <c r="B33" s="85"/>
      <c r="H33" s="246"/>
    </row>
    <row r="34" spans="1:13" s="2" customFormat="1" x14ac:dyDescent="0.35">
      <c r="A34" s="93"/>
      <c r="B34" s="85" t="s">
        <v>9239</v>
      </c>
      <c r="G34" s="965" t="s">
        <v>9203</v>
      </c>
      <c r="H34" s="960" t="s">
        <v>9205</v>
      </c>
    </row>
    <row r="35" spans="1:13" s="2" customFormat="1" x14ac:dyDescent="0.35">
      <c r="A35" s="93"/>
      <c r="B35" s="85"/>
      <c r="G35" s="966" t="s">
        <v>9206</v>
      </c>
      <c r="H35" s="966" t="s">
        <v>9206</v>
      </c>
    </row>
    <row r="36" spans="1:13" s="2" customFormat="1" x14ac:dyDescent="0.35">
      <c r="A36" s="93"/>
      <c r="B36" s="85"/>
      <c r="E36" s="2" t="s">
        <v>9246</v>
      </c>
      <c r="G36" s="2">
        <f>H10-0.5</f>
        <v>15.5</v>
      </c>
      <c r="H36" s="244">
        <f>G36*H$20</f>
        <v>2.9176470588235293</v>
      </c>
    </row>
    <row r="37" spans="1:13" s="2" customFormat="1" x14ac:dyDescent="0.35">
      <c r="A37" s="93"/>
      <c r="B37" s="85"/>
      <c r="E37" s="2" t="s">
        <v>9247</v>
      </c>
      <c r="G37" s="244">
        <f>(G36*H13/(H13+H11))+(0.6+0.3)</f>
        <v>2.3090909090909091</v>
      </c>
      <c r="H37" s="244">
        <f>G37*H$20</f>
        <v>0.43465240641711228</v>
      </c>
    </row>
    <row r="38" spans="1:13" s="2" customFormat="1" x14ac:dyDescent="0.35">
      <c r="A38" s="93"/>
      <c r="B38" s="85"/>
      <c r="G38" s="244"/>
      <c r="H38" s="244"/>
    </row>
    <row r="39" spans="1:13" s="2" customFormat="1" x14ac:dyDescent="0.35">
      <c r="A39" s="93"/>
      <c r="B39" s="85"/>
      <c r="E39" s="2" t="s">
        <v>9248</v>
      </c>
      <c r="G39" s="244"/>
      <c r="H39" s="244"/>
    </row>
    <row r="40" spans="1:13" s="2" customFormat="1" x14ac:dyDescent="0.35">
      <c r="A40" s="93"/>
      <c r="B40" s="85"/>
      <c r="G40" s="244">
        <f>G37+H6+H5</f>
        <v>6.3090909090909086</v>
      </c>
      <c r="H40" s="244">
        <f>G40*H$20</f>
        <v>1.1875935828877004</v>
      </c>
    </row>
    <row r="41" spans="1:13" s="2" customFormat="1" x14ac:dyDescent="0.35">
      <c r="A41" s="93"/>
      <c r="B41" s="85"/>
      <c r="G41" s="967"/>
      <c r="H41" s="967"/>
    </row>
    <row r="42" spans="1:13" s="2" customFormat="1" x14ac:dyDescent="0.35">
      <c r="A42" s="93"/>
    </row>
    <row r="43" spans="1:13" s="2" customFormat="1" x14ac:dyDescent="0.35">
      <c r="A43" s="93"/>
      <c r="B43" s="85" t="s">
        <v>9244</v>
      </c>
      <c r="E43" s="2" t="s">
        <v>9242</v>
      </c>
      <c r="G43" s="2" t="s">
        <v>2</v>
      </c>
      <c r="H43" s="962">
        <v>2</v>
      </c>
      <c r="J43" s="2" t="s">
        <v>9249</v>
      </c>
    </row>
    <row r="44" spans="1:13" s="2" customFormat="1" x14ac:dyDescent="0.35">
      <c r="A44" s="93"/>
      <c r="B44" s="85"/>
      <c r="H44" s="962"/>
    </row>
    <row r="45" spans="1:13" s="2" customFormat="1" x14ac:dyDescent="0.35">
      <c r="A45" s="93"/>
      <c r="E45" s="2" t="s">
        <v>9240</v>
      </c>
      <c r="G45" s="244">
        <f>G40</f>
        <v>6.3090909090909086</v>
      </c>
      <c r="H45" s="244">
        <f>G45*H$20</f>
        <v>1.1875935828877004</v>
      </c>
      <c r="J45" s="2" t="s">
        <v>9254</v>
      </c>
      <c r="M45" s="2" t="s">
        <v>9255</v>
      </c>
    </row>
    <row r="46" spans="1:13" s="2" customFormat="1" x14ac:dyDescent="0.35">
      <c r="A46" s="93"/>
      <c r="B46" s="85"/>
      <c r="E46" s="2" t="s">
        <v>9241</v>
      </c>
      <c r="G46" s="244">
        <f>G45+H43</f>
        <v>8.3090909090909086</v>
      </c>
      <c r="H46" s="244">
        <f>G46*H$20</f>
        <v>1.5640641711229946</v>
      </c>
      <c r="M46" s="2" t="s">
        <v>9256</v>
      </c>
    </row>
    <row r="47" spans="1:13" s="2" customFormat="1" x14ac:dyDescent="0.35">
      <c r="A47" s="93"/>
      <c r="B47" s="85"/>
      <c r="E47" s="2" t="s">
        <v>9245</v>
      </c>
      <c r="G47" s="244"/>
      <c r="H47" s="244">
        <f>AVERAGE(H45:H46)</f>
        <v>1.3758288770053475</v>
      </c>
      <c r="M47" s="244" t="s">
        <v>9257</v>
      </c>
    </row>
    <row r="48" spans="1:13" s="2" customFormat="1" x14ac:dyDescent="0.35">
      <c r="A48" s="93"/>
      <c r="B48" s="85"/>
      <c r="G48" s="244"/>
      <c r="H48" s="244"/>
    </row>
    <row r="49" spans="1:12" s="2" customFormat="1" x14ac:dyDescent="0.35">
      <c r="A49" s="93"/>
      <c r="B49" s="85"/>
      <c r="E49" s="2" t="s">
        <v>9253</v>
      </c>
      <c r="G49" s="244" t="s">
        <v>2</v>
      </c>
      <c r="H49" s="244">
        <f>H15</f>
        <v>3.3</v>
      </c>
    </row>
    <row r="50" spans="1:12" s="2" customFormat="1" x14ac:dyDescent="0.35">
      <c r="A50" s="93"/>
      <c r="B50" s="85"/>
      <c r="E50" s="2" t="s">
        <v>9251</v>
      </c>
      <c r="G50" s="244" t="s">
        <v>40</v>
      </c>
      <c r="H50" s="964">
        <v>100000</v>
      </c>
    </row>
    <row r="51" spans="1:12" s="2" customFormat="1" x14ac:dyDescent="0.35">
      <c r="A51" s="93"/>
      <c r="B51" s="85"/>
      <c r="E51" s="2" t="s">
        <v>9252</v>
      </c>
      <c r="G51" s="244" t="s">
        <v>40</v>
      </c>
      <c r="H51" s="241">
        <f>-H47*H50/(H47-H49)</f>
        <v>71502.417875604471</v>
      </c>
      <c r="J51" s="2" t="s">
        <v>9250</v>
      </c>
    </row>
    <row r="52" spans="1:12" s="2" customFormat="1" x14ac:dyDescent="0.35">
      <c r="A52" s="93"/>
      <c r="B52" s="85"/>
      <c r="E52" s="2" t="s">
        <v>9258</v>
      </c>
      <c r="G52" s="244" t="s">
        <v>40</v>
      </c>
      <c r="H52" s="241">
        <f>H50*H45/(H46-H45)</f>
        <v>315454.54545454541</v>
      </c>
      <c r="J52" s="2" t="s">
        <v>9259</v>
      </c>
    </row>
    <row r="53" spans="1:12" s="2" customFormat="1" x14ac:dyDescent="0.35">
      <c r="A53" s="93"/>
      <c r="B53" s="85"/>
      <c r="G53" s="244"/>
      <c r="H53" s="244"/>
    </row>
    <row r="54" spans="1:12" s="2" customFormat="1" x14ac:dyDescent="0.35">
      <c r="A54" s="93"/>
      <c r="B54" s="85" t="s">
        <v>9214</v>
      </c>
      <c r="E54" s="2" t="s">
        <v>9215</v>
      </c>
      <c r="G54" s="244"/>
      <c r="H54" s="244"/>
    </row>
    <row r="55" spans="1:12" s="2" customFormat="1" x14ac:dyDescent="0.35">
      <c r="A55" s="93"/>
      <c r="B55" s="85"/>
      <c r="E55" s="2" t="s">
        <v>9216</v>
      </c>
      <c r="G55" s="244"/>
      <c r="H55" s="244"/>
    </row>
    <row r="56" spans="1:12" s="2" customFormat="1" x14ac:dyDescent="0.35">
      <c r="A56" s="93"/>
      <c r="B56" s="85"/>
      <c r="E56" s="2" t="s">
        <v>9223</v>
      </c>
      <c r="G56" s="244"/>
      <c r="H56" s="244"/>
    </row>
    <row r="57" spans="1:12" s="2" customFormat="1" x14ac:dyDescent="0.35">
      <c r="A57" s="93"/>
      <c r="B57" s="85"/>
      <c r="E57" s="2" t="s">
        <v>9224</v>
      </c>
      <c r="G57" s="244"/>
      <c r="H57" s="244"/>
    </row>
    <row r="58" spans="1:12" s="2" customFormat="1" x14ac:dyDescent="0.35">
      <c r="A58" s="93"/>
      <c r="B58" s="85"/>
      <c r="E58" s="2" t="s">
        <v>9225</v>
      </c>
      <c r="G58" s="244"/>
      <c r="H58" s="244"/>
    </row>
    <row r="59" spans="1:12" s="2" customFormat="1" x14ac:dyDescent="0.35">
      <c r="A59" s="93"/>
      <c r="B59" s="85"/>
      <c r="G59" s="244"/>
      <c r="H59" s="244"/>
    </row>
    <row r="60" spans="1:12" s="2" customFormat="1" x14ac:dyDescent="0.35">
      <c r="A60" s="93"/>
      <c r="B60" s="85"/>
      <c r="E60" s="2" t="s">
        <v>9217</v>
      </c>
      <c r="G60" s="2" t="s">
        <v>9213</v>
      </c>
      <c r="H60" s="244"/>
      <c r="L60" s="2" t="s">
        <v>9210</v>
      </c>
    </row>
    <row r="61" spans="1:12" s="2" customFormat="1" x14ac:dyDescent="0.35">
      <c r="A61" s="93"/>
      <c r="B61" s="85"/>
      <c r="G61" s="2" t="s">
        <v>9212</v>
      </c>
      <c r="L61" s="2" t="s">
        <v>9211</v>
      </c>
    </row>
    <row r="62" spans="1:12" s="2" customFormat="1" x14ac:dyDescent="0.35">
      <c r="A62" s="93"/>
      <c r="B62" s="85"/>
    </row>
    <row r="63" spans="1:12" s="2" customFormat="1" x14ac:dyDescent="0.35">
      <c r="A63" s="93"/>
      <c r="B63" s="85" t="s">
        <v>9194</v>
      </c>
      <c r="E63" s="2" t="s">
        <v>9261</v>
      </c>
      <c r="G63" s="2" t="s">
        <v>351</v>
      </c>
      <c r="H63" s="963">
        <v>300</v>
      </c>
      <c r="K63" s="2" t="s">
        <v>9197</v>
      </c>
    </row>
    <row r="64" spans="1:12" s="2" customFormat="1" x14ac:dyDescent="0.35">
      <c r="A64" s="93"/>
      <c r="B64" s="85"/>
      <c r="E64" s="2" t="s">
        <v>9262</v>
      </c>
      <c r="G64" s="2" t="s">
        <v>2722</v>
      </c>
      <c r="H64" s="963">
        <v>30</v>
      </c>
    </row>
    <row r="65" spans="1:18" s="2" customFormat="1" x14ac:dyDescent="0.35">
      <c r="A65" s="93"/>
      <c r="B65" s="85"/>
      <c r="E65" s="2" t="s">
        <v>9263</v>
      </c>
      <c r="G65" s="2" t="s">
        <v>232</v>
      </c>
      <c r="H65" s="2">
        <f>H63*H64</f>
        <v>9000</v>
      </c>
    </row>
    <row r="66" spans="1:18" s="2" customFormat="1" x14ac:dyDescent="0.35">
      <c r="A66" s="93"/>
      <c r="B66" s="85"/>
      <c r="E66" s="2" t="s">
        <v>9260</v>
      </c>
      <c r="G66" s="2" t="s">
        <v>148</v>
      </c>
      <c r="H66" s="245">
        <f>H65*H11/1000000</f>
        <v>2.97</v>
      </c>
    </row>
    <row r="67" spans="1:18" s="2" customFormat="1" x14ac:dyDescent="0.35">
      <c r="A67" s="93"/>
      <c r="B67" s="85"/>
    </row>
    <row r="68" spans="1:18" s="2" customFormat="1" x14ac:dyDescent="0.35">
      <c r="A68" s="93"/>
      <c r="B68" s="85" t="s">
        <v>9207</v>
      </c>
    </row>
    <row r="69" spans="1:18" s="2" customFormat="1" x14ac:dyDescent="0.35">
      <c r="A69" s="93"/>
      <c r="B69" s="85"/>
      <c r="E69" s="922" t="s">
        <v>9264</v>
      </c>
      <c r="G69" s="2" t="s">
        <v>148</v>
      </c>
      <c r="H69" s="968">
        <v>3</v>
      </c>
      <c r="K69" s="2" t="s">
        <v>9208</v>
      </c>
    </row>
    <row r="70" spans="1:18" s="2" customFormat="1" x14ac:dyDescent="0.35">
      <c r="A70" s="93"/>
      <c r="B70" s="85"/>
      <c r="E70" s="922" t="s">
        <v>9265</v>
      </c>
      <c r="G70" s="244" t="s">
        <v>2</v>
      </c>
      <c r="H70" s="2">
        <f>H10</f>
        <v>16</v>
      </c>
    </row>
    <row r="71" spans="1:18" s="2" customFormat="1" x14ac:dyDescent="0.35">
      <c r="A71" s="93"/>
      <c r="B71" s="85"/>
      <c r="E71" s="922" t="s">
        <v>9266</v>
      </c>
      <c r="G71" s="2" t="s">
        <v>1834</v>
      </c>
      <c r="H71" s="2">
        <f>1000*H65*0.000000000001*H70/(H69*0.000001)</f>
        <v>48</v>
      </c>
    </row>
    <row r="72" spans="1:18" s="2" customFormat="1" x14ac:dyDescent="0.35">
      <c r="A72" s="93"/>
      <c r="B72" s="85"/>
      <c r="E72" s="922" t="s">
        <v>9268</v>
      </c>
      <c r="G72" s="2" t="s">
        <v>201</v>
      </c>
      <c r="H72" s="241">
        <f>H71*H70</f>
        <v>768</v>
      </c>
    </row>
    <row r="73" spans="1:18" s="2" customFormat="1" x14ac:dyDescent="0.35">
      <c r="A73" s="93"/>
      <c r="B73" s="85"/>
      <c r="E73" s="922" t="s">
        <v>9267</v>
      </c>
      <c r="G73" s="2" t="s">
        <v>40</v>
      </c>
      <c r="H73" s="246">
        <f>H70/(H71/1000)</f>
        <v>333.33333333333331</v>
      </c>
      <c r="K73" s="2" t="s">
        <v>9209</v>
      </c>
      <c r="R73" s="2" t="s">
        <v>9195</v>
      </c>
    </row>
    <row r="74" spans="1:18" s="2" customFormat="1" x14ac:dyDescent="0.35">
      <c r="A74" s="93"/>
      <c r="B74" s="85"/>
      <c r="H74" s="246"/>
    </row>
    <row r="75" spans="1:18" s="2" customFormat="1" x14ac:dyDescent="0.35">
      <c r="A75" s="93"/>
      <c r="B75" s="85" t="s">
        <v>9196</v>
      </c>
      <c r="E75" s="2" t="s">
        <v>7964</v>
      </c>
      <c r="G75" s="2" t="s">
        <v>9187</v>
      </c>
      <c r="N75" s="2" t="s">
        <v>9188</v>
      </c>
    </row>
    <row r="76" spans="1:18" s="2" customFormat="1" x14ac:dyDescent="0.35">
      <c r="A76" s="93"/>
      <c r="B76" s="85"/>
      <c r="G76" s="2" t="s">
        <v>9189</v>
      </c>
      <c r="N76" s="2" t="s">
        <v>9190</v>
      </c>
    </row>
    <row r="77" spans="1:18" s="2" customFormat="1" x14ac:dyDescent="0.35">
      <c r="A77" s="93"/>
      <c r="B77" s="85"/>
    </row>
    <row r="78" spans="1:18" s="2" customFormat="1" x14ac:dyDescent="0.35">
      <c r="A78" s="93"/>
      <c r="B78" s="85"/>
      <c r="E78" s="2" t="s">
        <v>9191</v>
      </c>
      <c r="G78" s="2" t="s">
        <v>9222</v>
      </c>
      <c r="N78" s="2" t="s">
        <v>9192</v>
      </c>
    </row>
    <row r="79" spans="1:18" s="2" customFormat="1" x14ac:dyDescent="0.35">
      <c r="A79" s="93"/>
      <c r="B79" s="85"/>
    </row>
    <row r="80" spans="1:18" s="5" customFormat="1" x14ac:dyDescent="0.35">
      <c r="A80" s="86" t="s">
        <v>9231</v>
      </c>
      <c r="B80" s="84"/>
    </row>
    <row r="82" spans="2:16" x14ac:dyDescent="0.35">
      <c r="B82" s="83" t="s">
        <v>16</v>
      </c>
    </row>
    <row r="84" spans="2:16" x14ac:dyDescent="0.35">
      <c r="C84" t="s">
        <v>1</v>
      </c>
      <c r="E84" t="s">
        <v>2</v>
      </c>
      <c r="F84">
        <v>12</v>
      </c>
    </row>
    <row r="85" spans="2:16" x14ac:dyDescent="0.35">
      <c r="C85" t="s">
        <v>3</v>
      </c>
      <c r="E85" t="s">
        <v>5</v>
      </c>
      <c r="F85">
        <v>5.0000000000000001E-3</v>
      </c>
    </row>
    <row r="86" spans="2:16" x14ac:dyDescent="0.35">
      <c r="C86" t="s">
        <v>4</v>
      </c>
      <c r="E86" t="s">
        <v>4</v>
      </c>
      <c r="F86">
        <f>F84*F85</f>
        <v>0.06</v>
      </c>
    </row>
    <row r="87" spans="2:16" x14ac:dyDescent="0.35">
      <c r="C87" t="s">
        <v>11</v>
      </c>
      <c r="E87" t="s">
        <v>7</v>
      </c>
      <c r="F87">
        <f>F86/1000</f>
        <v>5.9999999999999995E-5</v>
      </c>
    </row>
    <row r="88" spans="2:16" x14ac:dyDescent="0.35">
      <c r="C88" t="s">
        <v>6</v>
      </c>
      <c r="E88" t="s">
        <v>8</v>
      </c>
      <c r="F88">
        <f>24*365</f>
        <v>8760</v>
      </c>
    </row>
    <row r="89" spans="2:16" x14ac:dyDescent="0.35">
      <c r="C89" t="s">
        <v>10</v>
      </c>
      <c r="E89" t="s">
        <v>9</v>
      </c>
      <c r="F89">
        <f>F88*F87</f>
        <v>0.52559999999999996</v>
      </c>
    </row>
    <row r="90" spans="2:16" x14ac:dyDescent="0.35">
      <c r="C90" t="s">
        <v>12</v>
      </c>
      <c r="E90" t="s">
        <v>13</v>
      </c>
      <c r="F90">
        <v>0.15</v>
      </c>
    </row>
    <row r="91" spans="2:16" x14ac:dyDescent="0.35">
      <c r="C91" t="s">
        <v>14</v>
      </c>
      <c r="F91" s="8">
        <f>F90*F89</f>
        <v>7.8839999999999993E-2</v>
      </c>
    </row>
    <row r="93" spans="2:16" x14ac:dyDescent="0.35">
      <c r="B93" s="83" t="s">
        <v>34</v>
      </c>
      <c r="K93" t="s">
        <v>0</v>
      </c>
    </row>
    <row r="95" spans="2:16" x14ac:dyDescent="0.35">
      <c r="C95" t="s">
        <v>17</v>
      </c>
      <c r="E95" t="s">
        <v>52</v>
      </c>
      <c r="F95">
        <v>12</v>
      </c>
      <c r="G95">
        <v>14</v>
      </c>
      <c r="H95">
        <v>16</v>
      </c>
      <c r="I95">
        <v>18</v>
      </c>
      <c r="J95">
        <v>20</v>
      </c>
      <c r="K95">
        <v>22</v>
      </c>
      <c r="L95">
        <v>24</v>
      </c>
      <c r="N95" t="s">
        <v>42</v>
      </c>
      <c r="P95" s="1" t="s">
        <v>33</v>
      </c>
    </row>
    <row r="96" spans="2:16" x14ac:dyDescent="0.35">
      <c r="C96" t="s">
        <v>55</v>
      </c>
      <c r="E96" s="14" t="s">
        <v>62</v>
      </c>
      <c r="F96">
        <v>1.6</v>
      </c>
      <c r="G96">
        <v>2.5</v>
      </c>
      <c r="H96">
        <v>4</v>
      </c>
      <c r="I96">
        <v>6.4</v>
      </c>
      <c r="J96">
        <v>10</v>
      </c>
      <c r="K96">
        <v>16</v>
      </c>
      <c r="L96">
        <v>25</v>
      </c>
      <c r="N96" t="s">
        <v>43</v>
      </c>
      <c r="P96" s="1" t="s">
        <v>44</v>
      </c>
    </row>
    <row r="97" spans="2:16" x14ac:dyDescent="0.35">
      <c r="E97" s="14" t="s">
        <v>63</v>
      </c>
      <c r="F97" s="13">
        <f t="shared" ref="F97:L97" si="0">F96*(3.28084)</f>
        <v>5.2493440000000007</v>
      </c>
      <c r="G97" s="13">
        <f t="shared" si="0"/>
        <v>8.2020999999999997</v>
      </c>
      <c r="H97" s="13">
        <f t="shared" si="0"/>
        <v>13.12336</v>
      </c>
      <c r="I97" s="13">
        <f t="shared" si="0"/>
        <v>20.997376000000003</v>
      </c>
      <c r="J97" s="13">
        <f t="shared" si="0"/>
        <v>32.808399999999999</v>
      </c>
      <c r="K97" s="13">
        <f t="shared" si="0"/>
        <v>52.49344</v>
      </c>
      <c r="L97" s="13">
        <f t="shared" si="0"/>
        <v>82.021000000000001</v>
      </c>
      <c r="N97" t="s">
        <v>46</v>
      </c>
      <c r="P97" s="1" t="s">
        <v>45</v>
      </c>
    </row>
    <row r="98" spans="2:16" x14ac:dyDescent="0.35">
      <c r="E98" s="14" t="s">
        <v>79</v>
      </c>
      <c r="F98" s="11">
        <f t="shared" ref="F98:L98" si="1">F97/1000</f>
        <v>5.2493440000000004E-3</v>
      </c>
      <c r="G98" s="11">
        <f t="shared" si="1"/>
        <v>8.2021000000000004E-3</v>
      </c>
      <c r="H98" s="11">
        <f t="shared" si="1"/>
        <v>1.3123360000000001E-2</v>
      </c>
      <c r="I98" s="11">
        <f>I97/1000</f>
        <v>2.0997376000000002E-2</v>
      </c>
      <c r="J98" s="11">
        <f t="shared" si="1"/>
        <v>3.2808400000000001E-2</v>
      </c>
      <c r="K98" s="11">
        <f t="shared" si="1"/>
        <v>5.2493440000000002E-2</v>
      </c>
      <c r="L98" s="11">
        <f t="shared" si="1"/>
        <v>8.2020999999999997E-2</v>
      </c>
      <c r="N98" t="s">
        <v>46</v>
      </c>
      <c r="P98" s="1" t="s">
        <v>2712</v>
      </c>
    </row>
    <row r="99" spans="2:16" x14ac:dyDescent="0.35">
      <c r="C99" t="s">
        <v>56</v>
      </c>
      <c r="E99" t="s">
        <v>57</v>
      </c>
      <c r="F99" s="10">
        <v>0.08</v>
      </c>
      <c r="G99" s="10">
        <v>6.4000000000000001E-2</v>
      </c>
      <c r="H99" s="10">
        <v>0.05</v>
      </c>
      <c r="I99" s="10">
        <v>0.04</v>
      </c>
      <c r="J99" s="10">
        <v>3.2000000000000001E-2</v>
      </c>
      <c r="K99" s="10">
        <v>2.5000000000000001E-2</v>
      </c>
      <c r="L99" s="10">
        <v>0.02</v>
      </c>
    </row>
    <row r="100" spans="2:16" x14ac:dyDescent="0.35">
      <c r="E100" t="s">
        <v>58</v>
      </c>
      <c r="F100" s="13">
        <f t="shared" ref="F100:L100" si="2">F99*25.4</f>
        <v>2.032</v>
      </c>
      <c r="G100" s="13">
        <f t="shared" si="2"/>
        <v>1.6255999999999999</v>
      </c>
      <c r="H100" s="13">
        <f t="shared" si="2"/>
        <v>1.27</v>
      </c>
      <c r="I100" s="13">
        <f t="shared" si="2"/>
        <v>1.016</v>
      </c>
      <c r="J100" s="13">
        <f t="shared" si="2"/>
        <v>0.81279999999999997</v>
      </c>
      <c r="K100" s="13">
        <f t="shared" si="2"/>
        <v>0.63500000000000001</v>
      </c>
      <c r="L100" s="13">
        <f t="shared" si="2"/>
        <v>0.50800000000000001</v>
      </c>
    </row>
    <row r="101" spans="2:16" x14ac:dyDescent="0.35">
      <c r="E101" s="14" t="s">
        <v>151</v>
      </c>
      <c r="F101" s="17">
        <f t="shared" ref="F101:L101" si="3">F100/$F100</f>
        <v>1</v>
      </c>
      <c r="G101" s="17">
        <f t="shared" si="3"/>
        <v>0.79999999999999993</v>
      </c>
      <c r="H101" s="17">
        <f t="shared" si="3"/>
        <v>0.625</v>
      </c>
      <c r="I101" s="17">
        <f t="shared" si="3"/>
        <v>0.5</v>
      </c>
      <c r="J101" s="17">
        <f t="shared" si="3"/>
        <v>0.39999999999999997</v>
      </c>
      <c r="K101" s="17">
        <f t="shared" si="3"/>
        <v>0.3125</v>
      </c>
      <c r="L101" s="17">
        <f t="shared" si="3"/>
        <v>0.25</v>
      </c>
    </row>
    <row r="102" spans="2:16" x14ac:dyDescent="0.35">
      <c r="C102" t="s">
        <v>59</v>
      </c>
      <c r="E102" t="s">
        <v>60</v>
      </c>
      <c r="F102">
        <v>20</v>
      </c>
      <c r="G102">
        <v>12.4</v>
      </c>
      <c r="H102">
        <v>7.8</v>
      </c>
      <c r="I102">
        <v>4.9000000000000004</v>
      </c>
      <c r="J102">
        <v>3.1</v>
      </c>
      <c r="K102">
        <v>1.9</v>
      </c>
      <c r="L102">
        <v>1.2</v>
      </c>
    </row>
    <row r="103" spans="2:16" x14ac:dyDescent="0.35">
      <c r="E103" t="s">
        <v>61</v>
      </c>
      <c r="F103" s="11">
        <f t="shared" ref="F103:L103" si="4">(F102/2.2)*(39/12) / (1000)</f>
        <v>2.9545454545454545E-2</v>
      </c>
      <c r="G103" s="11">
        <f t="shared" si="4"/>
        <v>1.8318181818181817E-2</v>
      </c>
      <c r="H103" s="11">
        <f t="shared" si="4"/>
        <v>1.1522727272727271E-2</v>
      </c>
      <c r="I103" s="11">
        <f t="shared" si="4"/>
        <v>7.2386363636363629E-3</v>
      </c>
      <c r="J103" s="11">
        <f t="shared" si="4"/>
        <v>4.5795454545454542E-3</v>
      </c>
      <c r="K103" s="11">
        <f t="shared" si="4"/>
        <v>2.8068181818181816E-3</v>
      </c>
      <c r="L103" s="11">
        <f t="shared" si="4"/>
        <v>1.7727272727272724E-3</v>
      </c>
    </row>
    <row r="105" spans="2:16" x14ac:dyDescent="0.35">
      <c r="B105" s="83" t="s">
        <v>41</v>
      </c>
    </row>
    <row r="107" spans="2:16" x14ac:dyDescent="0.35">
      <c r="C107" t="s">
        <v>17</v>
      </c>
      <c r="E107" t="s">
        <v>78</v>
      </c>
      <c r="F107">
        <v>14</v>
      </c>
      <c r="G107">
        <f>G95</f>
        <v>14</v>
      </c>
      <c r="I107">
        <v>16</v>
      </c>
      <c r="J107">
        <v>16</v>
      </c>
      <c r="L107">
        <f>I181</f>
        <v>18</v>
      </c>
      <c r="M107">
        <v>18</v>
      </c>
      <c r="O107">
        <v>16</v>
      </c>
      <c r="P107">
        <f>M181</f>
        <v>18</v>
      </c>
    </row>
    <row r="108" spans="2:16" x14ac:dyDescent="0.35">
      <c r="C108" t="s">
        <v>35</v>
      </c>
      <c r="E108" t="s">
        <v>38</v>
      </c>
      <c r="F108">
        <v>15</v>
      </c>
      <c r="G108">
        <v>20</v>
      </c>
      <c r="I108">
        <v>15</v>
      </c>
      <c r="J108">
        <v>15</v>
      </c>
      <c r="L108">
        <f>I176</f>
        <v>2</v>
      </c>
      <c r="M108">
        <v>10</v>
      </c>
      <c r="O108">
        <v>4</v>
      </c>
      <c r="P108">
        <v>4</v>
      </c>
    </row>
    <row r="109" spans="2:16" x14ac:dyDescent="0.35">
      <c r="C109" t="s">
        <v>37</v>
      </c>
      <c r="E109" t="s">
        <v>54</v>
      </c>
      <c r="F109">
        <v>66</v>
      </c>
      <c r="G109">
        <v>100</v>
      </c>
      <c r="I109">
        <v>100</v>
      </c>
      <c r="J109">
        <f>33*2</f>
        <v>66</v>
      </c>
      <c r="L109">
        <f>I180</f>
        <v>200</v>
      </c>
      <c r="M109">
        <v>33</v>
      </c>
      <c r="O109">
        <v>50</v>
      </c>
      <c r="P109">
        <v>50</v>
      </c>
    </row>
    <row r="110" spans="2:16" x14ac:dyDescent="0.35">
      <c r="C110" t="s">
        <v>55</v>
      </c>
      <c r="E110" s="14" t="s">
        <v>79</v>
      </c>
      <c r="F110" s="249">
        <f>G98</f>
        <v>8.2021000000000004E-3</v>
      </c>
      <c r="G110" s="249">
        <f>G98</f>
        <v>8.2021000000000004E-3</v>
      </c>
      <c r="H110" s="11"/>
      <c r="I110" s="249">
        <f>H98</f>
        <v>1.3123360000000001E-2</v>
      </c>
      <c r="J110" s="249">
        <f>H98</f>
        <v>1.3123360000000001E-2</v>
      </c>
      <c r="K110" s="11"/>
      <c r="L110" s="249">
        <f>I98</f>
        <v>2.0997376000000002E-2</v>
      </c>
      <c r="M110" s="249">
        <f>I98</f>
        <v>2.0997376000000002E-2</v>
      </c>
      <c r="O110" s="961">
        <f>H98</f>
        <v>1.3123360000000001E-2</v>
      </c>
      <c r="P110" s="961">
        <f>I98</f>
        <v>2.0997376000000002E-2</v>
      </c>
    </row>
    <row r="111" spans="2:16" x14ac:dyDescent="0.35">
      <c r="C111" t="s">
        <v>9204</v>
      </c>
      <c r="E111" t="s">
        <v>2</v>
      </c>
      <c r="F111" s="13">
        <f>F108*F109*F110</f>
        <v>8.1200790000000005</v>
      </c>
      <c r="G111" s="13">
        <f>G108*G109*G110</f>
        <v>16.404199999999999</v>
      </c>
      <c r="H111" s="13"/>
      <c r="I111" s="13">
        <f>I108*I109*I110</f>
        <v>19.685040000000001</v>
      </c>
      <c r="J111" s="13">
        <f>J108*J109*J110</f>
        <v>12.9921264</v>
      </c>
      <c r="K111" s="13"/>
      <c r="L111" s="13">
        <f>L108*L109*L110</f>
        <v>8.3989504000000004</v>
      </c>
      <c r="M111" s="13">
        <f>M108*M109*M110</f>
        <v>6.9291340800000008</v>
      </c>
      <c r="O111" s="13">
        <f>O108*O109*O110</f>
        <v>2.6246720000000003</v>
      </c>
      <c r="P111" s="13">
        <f>P108*P109*P110</f>
        <v>4.1994752000000002</v>
      </c>
    </row>
    <row r="112" spans="2:16" x14ac:dyDescent="0.35">
      <c r="C112" t="s">
        <v>2711</v>
      </c>
      <c r="E112" t="s">
        <v>4</v>
      </c>
      <c r="F112" s="15">
        <f>F111*F108</f>
        <v>121.801185</v>
      </c>
      <c r="G112" s="15">
        <f>G111*G108</f>
        <v>328.084</v>
      </c>
      <c r="I112" s="15">
        <f>I111*I108</f>
        <v>295.2756</v>
      </c>
      <c r="J112" s="15">
        <f>J111*J108</f>
        <v>194.88189600000001</v>
      </c>
      <c r="L112" s="15">
        <f>L111*L108</f>
        <v>16.797900800000001</v>
      </c>
      <c r="M112" s="15">
        <f>M111*M108</f>
        <v>69.2913408</v>
      </c>
      <c r="O112" s="15">
        <f>O111*O108</f>
        <v>10.498688000000001</v>
      </c>
      <c r="P112" s="15">
        <f>P111*P108</f>
        <v>16.797900800000001</v>
      </c>
    </row>
    <row r="114" spans="2:24" x14ac:dyDescent="0.35">
      <c r="B114" s="83" t="s">
        <v>47</v>
      </c>
    </row>
    <row r="115" spans="2:24" x14ac:dyDescent="0.35">
      <c r="I115" t="s">
        <v>130</v>
      </c>
      <c r="K115" t="s">
        <v>131</v>
      </c>
    </row>
    <row r="116" spans="2:24" x14ac:dyDescent="0.35">
      <c r="C116" t="s">
        <v>48</v>
      </c>
      <c r="I116">
        <v>3</v>
      </c>
      <c r="K116">
        <v>2</v>
      </c>
      <c r="L116">
        <v>2</v>
      </c>
    </row>
    <row r="117" spans="2:24" x14ac:dyDescent="0.35">
      <c r="C117" t="s">
        <v>87</v>
      </c>
      <c r="I117">
        <f>F95</f>
        <v>12</v>
      </c>
      <c r="K117">
        <f>I95</f>
        <v>18</v>
      </c>
      <c r="L117">
        <v>22</v>
      </c>
    </row>
    <row r="118" spans="2:24" x14ac:dyDescent="0.35">
      <c r="C118" t="s">
        <v>88</v>
      </c>
      <c r="F118" t="s">
        <v>61</v>
      </c>
      <c r="I118" s="10">
        <f>F103</f>
        <v>2.9545454545454545E-2</v>
      </c>
      <c r="K118" s="10">
        <f>I103</f>
        <v>7.2386363636363629E-3</v>
      </c>
      <c r="L118" s="10">
        <f>J103</f>
        <v>4.5795454545454542E-3</v>
      </c>
    </row>
    <row r="119" spans="2:24" x14ac:dyDescent="0.35">
      <c r="C119" t="s">
        <v>89</v>
      </c>
      <c r="F119" t="s">
        <v>122</v>
      </c>
      <c r="I119" s="10">
        <f>I118*I116</f>
        <v>8.8636363636363638E-2</v>
      </c>
      <c r="K119" s="10">
        <f>K118*K116</f>
        <v>1.4477272727272726E-2</v>
      </c>
      <c r="L119" s="10">
        <f>L118*L116</f>
        <v>9.1590909090909084E-3</v>
      </c>
    </row>
    <row r="121" spans="2:24" x14ac:dyDescent="0.35">
      <c r="C121" t="s">
        <v>121</v>
      </c>
      <c r="F121" t="s">
        <v>61</v>
      </c>
      <c r="G121" s="10">
        <f>I119</f>
        <v>8.8636363636363638E-2</v>
      </c>
    </row>
    <row r="122" spans="2:24" x14ac:dyDescent="0.35">
      <c r="C122" s="4" t="s">
        <v>120</v>
      </c>
      <c r="D122" s="4"/>
      <c r="E122" s="4"/>
      <c r="F122" s="4" t="s">
        <v>61</v>
      </c>
      <c r="G122" s="18">
        <f>SUM(K119:L119)</f>
        <v>2.3636363636363636E-2</v>
      </c>
    </row>
    <row r="123" spans="2:24" x14ac:dyDescent="0.35">
      <c r="C123" s="19" t="s">
        <v>90</v>
      </c>
      <c r="G123" s="17">
        <f>G122/G121</f>
        <v>0.26666666666666666</v>
      </c>
      <c r="I123" s="10"/>
      <c r="J123" s="10"/>
    </row>
    <row r="124" spans="2:24" x14ac:dyDescent="0.35">
      <c r="C124" s="19"/>
      <c r="H124" s="17"/>
      <c r="I124" s="10"/>
    </row>
    <row r="125" spans="2:24" x14ac:dyDescent="0.35">
      <c r="B125" s="83" t="s">
        <v>123</v>
      </c>
      <c r="C125" s="19"/>
      <c r="D125" t="s">
        <v>134</v>
      </c>
      <c r="G125" s="17" t="s">
        <v>31</v>
      </c>
      <c r="I125" s="10"/>
      <c r="K125" t="s">
        <v>0</v>
      </c>
      <c r="L125" t="s">
        <v>0</v>
      </c>
      <c r="M125" t="s">
        <v>133</v>
      </c>
      <c r="U125" s="1" t="s">
        <v>18</v>
      </c>
      <c r="X125" t="s">
        <v>0</v>
      </c>
    </row>
    <row r="126" spans="2:24" x14ac:dyDescent="0.35">
      <c r="C126" s="19"/>
      <c r="D126" t="s">
        <v>135</v>
      </c>
      <c r="G126" s="17" t="s">
        <v>124</v>
      </c>
      <c r="I126" s="10"/>
      <c r="K126" t="s">
        <v>0</v>
      </c>
      <c r="M126" t="s">
        <v>132</v>
      </c>
      <c r="U126" t="s">
        <v>32</v>
      </c>
      <c r="X126" t="s">
        <v>0</v>
      </c>
    </row>
    <row r="127" spans="2:24" x14ac:dyDescent="0.35">
      <c r="C127" s="19"/>
      <c r="D127" t="s">
        <v>136</v>
      </c>
      <c r="G127" s="17" t="s">
        <v>126</v>
      </c>
      <c r="I127" s="10"/>
      <c r="K127" t="s">
        <v>0</v>
      </c>
      <c r="L127" t="s">
        <v>0</v>
      </c>
    </row>
    <row r="128" spans="2:24" x14ac:dyDescent="0.35">
      <c r="C128" s="19"/>
      <c r="G128" s="17"/>
      <c r="H128" s="10"/>
      <c r="M128" s="4"/>
      <c r="N128" s="4" t="s">
        <v>20</v>
      </c>
      <c r="O128" s="4" t="s">
        <v>21</v>
      </c>
      <c r="P128" s="4" t="s">
        <v>22</v>
      </c>
      <c r="Q128" s="4" t="s">
        <v>24</v>
      </c>
      <c r="R128" s="4"/>
      <c r="S128" s="4"/>
    </row>
    <row r="129" spans="2:25" x14ac:dyDescent="0.35">
      <c r="C129" s="19"/>
      <c r="D129" s="8">
        <f>129*4</f>
        <v>516</v>
      </c>
      <c r="E129" s="19" t="s">
        <v>127</v>
      </c>
      <c r="G129" s="17"/>
      <c r="H129" s="10"/>
      <c r="M129" t="s">
        <v>29</v>
      </c>
      <c r="N129">
        <v>679628</v>
      </c>
      <c r="O129">
        <v>129</v>
      </c>
      <c r="P129" t="s">
        <v>23</v>
      </c>
      <c r="Q129" t="s">
        <v>25</v>
      </c>
      <c r="S129" t="s">
        <v>27</v>
      </c>
      <c r="Y129" t="s">
        <v>19</v>
      </c>
    </row>
    <row r="130" spans="2:25" x14ac:dyDescent="0.35">
      <c r="D130" s="8">
        <f>54*4</f>
        <v>216</v>
      </c>
      <c r="E130" s="19" t="s">
        <v>125</v>
      </c>
      <c r="G130" s="17"/>
      <c r="H130" s="10"/>
      <c r="M130" t="s">
        <v>30</v>
      </c>
      <c r="N130">
        <v>288282</v>
      </c>
      <c r="O130">
        <v>82</v>
      </c>
      <c r="P130" t="s">
        <v>23</v>
      </c>
      <c r="Q130" t="s">
        <v>26</v>
      </c>
      <c r="S130" t="s">
        <v>28</v>
      </c>
      <c r="Y130" t="s">
        <v>15</v>
      </c>
    </row>
    <row r="131" spans="2:25" x14ac:dyDescent="0.35">
      <c r="D131" s="8"/>
      <c r="E131" s="19"/>
      <c r="G131" s="17"/>
      <c r="H131" s="10"/>
    </row>
    <row r="132" spans="2:25" x14ac:dyDescent="0.35">
      <c r="B132" s="83" t="s">
        <v>129</v>
      </c>
      <c r="D132" s="8"/>
      <c r="E132" s="19"/>
      <c r="H132" s="10"/>
    </row>
    <row r="133" spans="2:25" x14ac:dyDescent="0.35">
      <c r="D133" s="8"/>
      <c r="E133" s="19"/>
      <c r="H133" s="10"/>
    </row>
    <row r="134" spans="2:25" x14ac:dyDescent="0.35">
      <c r="C134" s="17" t="s">
        <v>128</v>
      </c>
      <c r="G134" s="17"/>
      <c r="H134" s="10"/>
    </row>
    <row r="136" spans="2:25" x14ac:dyDescent="0.35">
      <c r="B136" s="83" t="s">
        <v>113</v>
      </c>
    </row>
    <row r="138" spans="2:25" x14ac:dyDescent="0.35">
      <c r="C138" t="s">
        <v>107</v>
      </c>
      <c r="E138" t="s">
        <v>108</v>
      </c>
      <c r="F138">
        <v>0.5</v>
      </c>
    </row>
    <row r="139" spans="2:25" x14ac:dyDescent="0.35">
      <c r="E139" t="s">
        <v>109</v>
      </c>
      <c r="F139" s="12">
        <f>F138*12/39</f>
        <v>0.15384615384615385</v>
      </c>
    </row>
    <row r="140" spans="2:25" x14ac:dyDescent="0.35">
      <c r="C140" t="s">
        <v>147</v>
      </c>
      <c r="E140" t="s">
        <v>54</v>
      </c>
      <c r="F140">
        <f>I180</f>
        <v>200</v>
      </c>
    </row>
    <row r="141" spans="2:25" x14ac:dyDescent="0.35">
      <c r="C141" t="s">
        <v>110</v>
      </c>
      <c r="E141" t="s">
        <v>148</v>
      </c>
      <c r="F141">
        <f>F140/F139/1000</f>
        <v>1.3</v>
      </c>
    </row>
    <row r="142" spans="2:25" x14ac:dyDescent="0.35">
      <c r="C142" t="s">
        <v>111</v>
      </c>
      <c r="F142">
        <v>30</v>
      </c>
    </row>
    <row r="143" spans="2:25" x14ac:dyDescent="0.35">
      <c r="C143" t="s">
        <v>112</v>
      </c>
      <c r="E143" t="s">
        <v>148</v>
      </c>
      <c r="F143">
        <f>F142*F141</f>
        <v>39</v>
      </c>
    </row>
    <row r="144" spans="2:25" x14ac:dyDescent="0.35">
      <c r="C144" t="s">
        <v>114</v>
      </c>
      <c r="E144" t="s">
        <v>115</v>
      </c>
      <c r="F144" s="20">
        <f>1/((F143*0.000001)*2)</f>
        <v>12820.51282051282</v>
      </c>
    </row>
    <row r="145" spans="2:10" x14ac:dyDescent="0.35">
      <c r="F145" s="20"/>
    </row>
    <row r="146" spans="2:10" x14ac:dyDescent="0.35">
      <c r="B146" s="83" t="s">
        <v>1762</v>
      </c>
      <c r="F146" s="20"/>
    </row>
    <row r="147" spans="2:10" x14ac:dyDescent="0.35">
      <c r="C147" t="s">
        <v>1767</v>
      </c>
      <c r="E147" t="s">
        <v>1765</v>
      </c>
      <c r="F147" s="20">
        <v>13.333333333333334</v>
      </c>
      <c r="I147" t="s">
        <v>908</v>
      </c>
      <c r="J147" s="1" t="s">
        <v>1763</v>
      </c>
    </row>
    <row r="148" spans="2:10" x14ac:dyDescent="0.35">
      <c r="C148" t="s">
        <v>1768</v>
      </c>
      <c r="E148" t="s">
        <v>1766</v>
      </c>
      <c r="F148" s="20">
        <f>F147*F140/2</f>
        <v>1333.3333333333335</v>
      </c>
    </row>
    <row r="149" spans="2:10" x14ac:dyDescent="0.35">
      <c r="C149" t="s">
        <v>1769</v>
      </c>
      <c r="E149" t="s">
        <v>232</v>
      </c>
      <c r="F149" s="20">
        <v>20</v>
      </c>
    </row>
    <row r="150" spans="2:10" x14ac:dyDescent="0.35">
      <c r="C150" t="s">
        <v>1770</v>
      </c>
      <c r="F150" s="20">
        <v>32</v>
      </c>
    </row>
    <row r="151" spans="2:10" x14ac:dyDescent="0.35">
      <c r="C151" t="s">
        <v>1771</v>
      </c>
      <c r="E151" t="s">
        <v>1766</v>
      </c>
      <c r="F151" s="20">
        <f>F150*F149</f>
        <v>640</v>
      </c>
    </row>
    <row r="152" spans="2:10" x14ac:dyDescent="0.35">
      <c r="C152" t="s">
        <v>1772</v>
      </c>
      <c r="E152" t="s">
        <v>1766</v>
      </c>
      <c r="F152" s="20">
        <f>F151+F148</f>
        <v>1973.3333333333335</v>
      </c>
    </row>
    <row r="153" spans="2:10" x14ac:dyDescent="0.35">
      <c r="C153" t="s">
        <v>1764</v>
      </c>
      <c r="E153" t="s">
        <v>40</v>
      </c>
      <c r="F153" s="20">
        <v>2000</v>
      </c>
    </row>
    <row r="154" spans="2:10" x14ac:dyDescent="0.35">
      <c r="C154" t="s">
        <v>1773</v>
      </c>
      <c r="E154" t="s">
        <v>1774</v>
      </c>
      <c r="F154" s="27">
        <f>(F153*F152*0.000000000001)*1000000</f>
        <v>3.9466666666666672</v>
      </c>
    </row>
    <row r="156" spans="2:10" x14ac:dyDescent="0.35">
      <c r="B156" s="83" t="s">
        <v>116</v>
      </c>
    </row>
    <row r="158" spans="2:10" x14ac:dyDescent="0.35">
      <c r="C158" t="s">
        <v>117</v>
      </c>
      <c r="E158" t="s">
        <v>118</v>
      </c>
      <c r="F158">
        <v>10000</v>
      </c>
    </row>
    <row r="159" spans="2:10" x14ac:dyDescent="0.35">
      <c r="E159" t="s">
        <v>119</v>
      </c>
      <c r="F159">
        <f>F158/8</f>
        <v>1250</v>
      </c>
    </row>
    <row r="161" spans="1:17" x14ac:dyDescent="0.35">
      <c r="B161" s="83" t="s">
        <v>9274</v>
      </c>
    </row>
    <row r="162" spans="1:17" x14ac:dyDescent="0.35">
      <c r="D162" s="3" t="s">
        <v>9286</v>
      </c>
      <c r="E162" s="3" t="s">
        <v>9287</v>
      </c>
    </row>
    <row r="163" spans="1:17" x14ac:dyDescent="0.35">
      <c r="C163" s="205" t="s">
        <v>9281</v>
      </c>
      <c r="D163" s="205" t="s">
        <v>2722</v>
      </c>
      <c r="E163" s="205" t="s">
        <v>2722</v>
      </c>
      <c r="F163" s="205" t="s">
        <v>9282</v>
      </c>
      <c r="G163" s="205" t="s">
        <v>9283</v>
      </c>
      <c r="I163" t="s">
        <v>9275</v>
      </c>
      <c r="N163" t="s">
        <v>9276</v>
      </c>
    </row>
    <row r="164" spans="1:17" x14ac:dyDescent="0.35">
      <c r="I164" t="s">
        <v>9278</v>
      </c>
      <c r="N164" t="s">
        <v>9277</v>
      </c>
    </row>
    <row r="165" spans="1:17" x14ac:dyDescent="0.35">
      <c r="D165">
        <v>55</v>
      </c>
      <c r="E165">
        <v>99</v>
      </c>
      <c r="F165">
        <v>6.4</v>
      </c>
      <c r="I165" t="s">
        <v>9285</v>
      </c>
      <c r="N165" t="s">
        <v>9284</v>
      </c>
    </row>
    <row r="166" spans="1:17" x14ac:dyDescent="0.35">
      <c r="C166">
        <v>0.21</v>
      </c>
      <c r="D166">
        <v>17</v>
      </c>
      <c r="F166">
        <v>24.8</v>
      </c>
      <c r="G166">
        <v>100</v>
      </c>
      <c r="I166" t="s">
        <v>9280</v>
      </c>
      <c r="N166" t="s">
        <v>9279</v>
      </c>
    </row>
    <row r="167" spans="1:17" x14ac:dyDescent="0.35">
      <c r="C167">
        <v>0.08</v>
      </c>
      <c r="D167">
        <v>40</v>
      </c>
      <c r="E167">
        <v>76</v>
      </c>
      <c r="F167">
        <v>16.100000000000001</v>
      </c>
      <c r="G167">
        <v>40</v>
      </c>
      <c r="I167" t="s">
        <v>9289</v>
      </c>
      <c r="N167" t="s">
        <v>9288</v>
      </c>
    </row>
    <row r="169" spans="1:17" s="5" customFormat="1" x14ac:dyDescent="0.35">
      <c r="A169" s="86" t="s">
        <v>9230</v>
      </c>
      <c r="B169" s="84"/>
    </row>
    <row r="171" spans="1:17" x14ac:dyDescent="0.35">
      <c r="B171" s="83" t="s">
        <v>51</v>
      </c>
      <c r="D171" t="s">
        <v>75</v>
      </c>
      <c r="G171" t="s">
        <v>74</v>
      </c>
      <c r="I171">
        <v>12</v>
      </c>
      <c r="L171" s="2">
        <v>6</v>
      </c>
      <c r="M171" s="2">
        <v>12</v>
      </c>
      <c r="N171" s="2">
        <v>24</v>
      </c>
      <c r="O171" s="173">
        <v>48</v>
      </c>
      <c r="P171" s="173">
        <v>48</v>
      </c>
      <c r="Q171" s="173">
        <v>48</v>
      </c>
    </row>
    <row r="173" spans="1:17" x14ac:dyDescent="0.35">
      <c r="B173" s="83" t="s">
        <v>1633</v>
      </c>
      <c r="G173" t="s">
        <v>1636</v>
      </c>
      <c r="I173" s="12">
        <f>2/32</f>
        <v>6.25E-2</v>
      </c>
      <c r="L173" s="10">
        <v>0.03</v>
      </c>
      <c r="M173" s="10">
        <v>0.03</v>
      </c>
      <c r="N173" s="10">
        <v>0.5</v>
      </c>
      <c r="O173" s="10">
        <v>0.25</v>
      </c>
      <c r="P173" s="10">
        <v>0.25</v>
      </c>
      <c r="Q173" s="10">
        <v>0.25</v>
      </c>
    </row>
    <row r="174" spans="1:17" x14ac:dyDescent="0.35">
      <c r="G174" t="s">
        <v>1635</v>
      </c>
      <c r="I174" s="12">
        <f>I173*I171</f>
        <v>0.75</v>
      </c>
      <c r="L174" s="12">
        <f t="shared" ref="L174:Q174" si="5">L173*L171</f>
        <v>0.18</v>
      </c>
      <c r="M174" s="12">
        <f t="shared" si="5"/>
        <v>0.36</v>
      </c>
      <c r="N174" s="12">
        <f t="shared" si="5"/>
        <v>12</v>
      </c>
      <c r="O174" s="12">
        <f t="shared" si="5"/>
        <v>12</v>
      </c>
      <c r="P174" s="12">
        <f t="shared" si="5"/>
        <v>12</v>
      </c>
      <c r="Q174" s="12">
        <f t="shared" si="5"/>
        <v>12</v>
      </c>
    </row>
    <row r="175" spans="1:17" x14ac:dyDescent="0.35">
      <c r="G175" t="s">
        <v>1632</v>
      </c>
      <c r="I175">
        <v>32</v>
      </c>
      <c r="L175">
        <v>16</v>
      </c>
      <c r="M175">
        <v>32</v>
      </c>
      <c r="N175">
        <v>4</v>
      </c>
      <c r="O175">
        <v>16</v>
      </c>
      <c r="P175">
        <v>16</v>
      </c>
      <c r="Q175">
        <v>16</v>
      </c>
    </row>
    <row r="176" spans="1:17" x14ac:dyDescent="0.35">
      <c r="G176" t="s">
        <v>1634</v>
      </c>
      <c r="I176">
        <f>I173*I175</f>
        <v>2</v>
      </c>
      <c r="L176">
        <f t="shared" ref="L176:Q176" si="6">L173*L175</f>
        <v>0.48</v>
      </c>
      <c r="M176">
        <f t="shared" si="6"/>
        <v>0.96</v>
      </c>
      <c r="N176">
        <f t="shared" si="6"/>
        <v>2</v>
      </c>
      <c r="O176">
        <f t="shared" si="6"/>
        <v>4</v>
      </c>
      <c r="P176">
        <f t="shared" si="6"/>
        <v>4</v>
      </c>
      <c r="Q176">
        <f t="shared" si="6"/>
        <v>4</v>
      </c>
    </row>
    <row r="177" spans="2:17" x14ac:dyDescent="0.35">
      <c r="G177" t="s">
        <v>1637</v>
      </c>
      <c r="I177">
        <f>I176*I171</f>
        <v>24</v>
      </c>
      <c r="L177" s="13">
        <f t="shared" ref="L177:Q177" si="7">L176*L171</f>
        <v>2.88</v>
      </c>
      <c r="M177" s="13">
        <f t="shared" si="7"/>
        <v>11.52</v>
      </c>
      <c r="N177">
        <f t="shared" si="7"/>
        <v>48</v>
      </c>
      <c r="O177">
        <f t="shared" si="7"/>
        <v>192</v>
      </c>
      <c r="P177">
        <f t="shared" si="7"/>
        <v>192</v>
      </c>
      <c r="Q177">
        <f t="shared" si="7"/>
        <v>192</v>
      </c>
    </row>
    <row r="179" spans="2:17" x14ac:dyDescent="0.35">
      <c r="B179" s="83" t="s">
        <v>76</v>
      </c>
      <c r="D179" t="s">
        <v>53</v>
      </c>
      <c r="G179" t="s">
        <v>54</v>
      </c>
      <c r="I179">
        <v>100</v>
      </c>
      <c r="L179">
        <v>60</v>
      </c>
      <c r="M179">
        <v>100</v>
      </c>
      <c r="N179">
        <v>10</v>
      </c>
      <c r="O179" s="89">
        <v>10</v>
      </c>
      <c r="P179" s="89">
        <v>25</v>
      </c>
      <c r="Q179" s="89">
        <v>50</v>
      </c>
    </row>
    <row r="180" spans="2:17" x14ac:dyDescent="0.35">
      <c r="D180" t="s">
        <v>77</v>
      </c>
      <c r="G180" t="s">
        <v>54</v>
      </c>
      <c r="I180">
        <f>I179*2</f>
        <v>200</v>
      </c>
      <c r="L180">
        <f>L179*2</f>
        <v>120</v>
      </c>
      <c r="M180">
        <v>200</v>
      </c>
      <c r="N180">
        <f>N179*2</f>
        <v>20</v>
      </c>
      <c r="O180">
        <f>O179*2</f>
        <v>20</v>
      </c>
      <c r="P180">
        <f>P179*2</f>
        <v>50</v>
      </c>
      <c r="Q180">
        <f>Q179*2</f>
        <v>100</v>
      </c>
    </row>
    <row r="181" spans="2:17" x14ac:dyDescent="0.35">
      <c r="D181" t="s">
        <v>17</v>
      </c>
      <c r="G181" t="s">
        <v>52</v>
      </c>
      <c r="I181" s="171">
        <v>18</v>
      </c>
      <c r="L181">
        <f t="shared" ref="L181:Q182" si="8">$I181</f>
        <v>18</v>
      </c>
      <c r="M181">
        <f t="shared" si="8"/>
        <v>18</v>
      </c>
      <c r="N181">
        <f t="shared" si="8"/>
        <v>18</v>
      </c>
      <c r="O181">
        <f t="shared" si="8"/>
        <v>18</v>
      </c>
      <c r="P181">
        <f t="shared" si="8"/>
        <v>18</v>
      </c>
      <c r="Q181">
        <f t="shared" si="8"/>
        <v>18</v>
      </c>
    </row>
    <row r="182" spans="2:17" x14ac:dyDescent="0.35">
      <c r="G182" t="s">
        <v>1638</v>
      </c>
      <c r="I182" s="172">
        <f>I98</f>
        <v>2.0997376000000002E-2</v>
      </c>
      <c r="L182" s="10">
        <f t="shared" si="8"/>
        <v>2.0997376000000002E-2</v>
      </c>
      <c r="M182" s="10">
        <f t="shared" si="8"/>
        <v>2.0997376000000002E-2</v>
      </c>
      <c r="N182" s="10">
        <f t="shared" si="8"/>
        <v>2.0997376000000002E-2</v>
      </c>
      <c r="O182" s="10">
        <f t="shared" si="8"/>
        <v>2.0997376000000002E-2</v>
      </c>
      <c r="P182" s="10">
        <f t="shared" si="8"/>
        <v>2.0997376000000002E-2</v>
      </c>
      <c r="Q182" s="10">
        <f t="shared" si="8"/>
        <v>2.0997376000000002E-2</v>
      </c>
    </row>
    <row r="183" spans="2:17" x14ac:dyDescent="0.35">
      <c r="D183" t="s">
        <v>83</v>
      </c>
      <c r="G183" t="s">
        <v>40</v>
      </c>
      <c r="I183" s="13">
        <f>I182*I179</f>
        <v>2.0997376000000001</v>
      </c>
      <c r="L183" s="13">
        <f t="shared" ref="L183:Q183" si="9">L182*L179</f>
        <v>1.2598425600000001</v>
      </c>
      <c r="M183" s="13">
        <f t="shared" si="9"/>
        <v>2.0997376000000001</v>
      </c>
      <c r="N183" s="13">
        <f t="shared" si="9"/>
        <v>0.20997376000000001</v>
      </c>
      <c r="O183" s="13">
        <f t="shared" si="9"/>
        <v>0.20997376000000001</v>
      </c>
      <c r="P183" s="13">
        <f t="shared" si="9"/>
        <v>0.52493440000000002</v>
      </c>
      <c r="Q183" s="13">
        <f t="shared" si="9"/>
        <v>1.0498688</v>
      </c>
    </row>
    <row r="184" spans="2:17" x14ac:dyDescent="0.35">
      <c r="D184" t="s">
        <v>84</v>
      </c>
      <c r="G184" t="s">
        <v>81</v>
      </c>
      <c r="I184" s="13">
        <f>I183*I176</f>
        <v>4.1994752000000002</v>
      </c>
      <c r="L184" s="13">
        <f t="shared" ref="L184:Q184" si="10">L183*L176</f>
        <v>0.60472442879999999</v>
      </c>
      <c r="M184" s="13">
        <f t="shared" si="10"/>
        <v>2.0157480959999998</v>
      </c>
      <c r="N184" s="13">
        <f t="shared" si="10"/>
        <v>0.41994752000000002</v>
      </c>
      <c r="O184" s="970">
        <f t="shared" si="10"/>
        <v>0.83989504000000004</v>
      </c>
      <c r="P184" s="970">
        <f t="shared" si="10"/>
        <v>2.0997376000000001</v>
      </c>
      <c r="Q184" s="970">
        <f t="shared" si="10"/>
        <v>4.1994752000000002</v>
      </c>
    </row>
    <row r="185" spans="2:17" x14ac:dyDescent="0.35">
      <c r="D185" t="s">
        <v>1641</v>
      </c>
      <c r="G185" t="s">
        <v>81</v>
      </c>
      <c r="I185" s="13">
        <f>I184*2</f>
        <v>8.3989504000000004</v>
      </c>
      <c r="L185" s="13">
        <f t="shared" ref="L185:Q185" si="11">L184*2</f>
        <v>1.2094488576</v>
      </c>
      <c r="M185" s="13">
        <f t="shared" si="11"/>
        <v>4.0314961919999996</v>
      </c>
      <c r="N185" s="12">
        <f t="shared" si="11"/>
        <v>0.83989504000000004</v>
      </c>
      <c r="O185" s="13">
        <f t="shared" si="11"/>
        <v>1.6797900800000001</v>
      </c>
      <c r="P185" s="13">
        <f t="shared" si="11"/>
        <v>4.1994752000000002</v>
      </c>
      <c r="Q185" s="13">
        <f t="shared" si="11"/>
        <v>8.3989504000000004</v>
      </c>
    </row>
    <row r="186" spans="2:17" x14ac:dyDescent="0.35">
      <c r="D186" t="s">
        <v>1642</v>
      </c>
      <c r="G186" t="s">
        <v>4</v>
      </c>
      <c r="I186" s="13">
        <f>I185*I176</f>
        <v>16.797900800000001</v>
      </c>
      <c r="L186" s="13">
        <f t="shared" ref="L186:Q186" si="12">L185*L176</f>
        <v>0.58053545164800002</v>
      </c>
      <c r="M186" s="13">
        <f t="shared" si="12"/>
        <v>3.8702363443199994</v>
      </c>
      <c r="N186" s="13">
        <f t="shared" si="12"/>
        <v>1.6797900800000001</v>
      </c>
      <c r="O186" s="13">
        <f t="shared" si="12"/>
        <v>6.7191603200000003</v>
      </c>
      <c r="P186" s="13">
        <f t="shared" si="12"/>
        <v>16.797900800000001</v>
      </c>
      <c r="Q186" s="13">
        <f t="shared" si="12"/>
        <v>33.595801600000001</v>
      </c>
    </row>
    <row r="187" spans="2:17" x14ac:dyDescent="0.35">
      <c r="D187" t="s">
        <v>1643</v>
      </c>
      <c r="G187" t="s">
        <v>1169</v>
      </c>
      <c r="I187" s="17">
        <f>I185/I171</f>
        <v>0.69991253333333336</v>
      </c>
      <c r="L187" s="17">
        <f t="shared" ref="L187:Q187" si="13">L185/L171</f>
        <v>0.20157480959999999</v>
      </c>
      <c r="M187" s="17">
        <f t="shared" si="13"/>
        <v>0.33595801599999997</v>
      </c>
      <c r="N187" s="17">
        <f t="shared" si="13"/>
        <v>3.4995626666666668E-2</v>
      </c>
      <c r="O187" s="17">
        <f t="shared" si="13"/>
        <v>3.4995626666666668E-2</v>
      </c>
      <c r="P187" s="17">
        <f t="shared" si="13"/>
        <v>8.7489066666666671E-2</v>
      </c>
      <c r="Q187" s="17">
        <f t="shared" si="13"/>
        <v>0.17497813333333334</v>
      </c>
    </row>
    <row r="188" spans="2:17" x14ac:dyDescent="0.35">
      <c r="I188" s="13"/>
      <c r="L188" s="13"/>
      <c r="M188" s="13"/>
      <c r="N188" s="13"/>
      <c r="O188" s="13"/>
      <c r="P188" s="13"/>
      <c r="Q188" s="13"/>
    </row>
    <row r="189" spans="2:17" x14ac:dyDescent="0.35">
      <c r="B189" s="83" t="s">
        <v>80</v>
      </c>
      <c r="D189" t="s">
        <v>171</v>
      </c>
      <c r="G189" t="s">
        <v>81</v>
      </c>
      <c r="I189" s="16">
        <f>I184</f>
        <v>4.1994752000000002</v>
      </c>
      <c r="L189" s="16">
        <f t="shared" ref="L189:Q189" si="14">L184</f>
        <v>0.60472442879999999</v>
      </c>
      <c r="M189" s="16">
        <f t="shared" si="14"/>
        <v>2.0157480959999998</v>
      </c>
      <c r="N189" s="16">
        <f t="shared" si="14"/>
        <v>0.41994752000000002</v>
      </c>
      <c r="O189" s="16">
        <f t="shared" si="14"/>
        <v>0.83989504000000004</v>
      </c>
      <c r="P189" s="16">
        <f t="shared" si="14"/>
        <v>2.0997376000000001</v>
      </c>
      <c r="Q189" s="16">
        <f t="shared" si="14"/>
        <v>4.1994752000000002</v>
      </c>
    </row>
    <row r="190" spans="2:17" x14ac:dyDescent="0.35">
      <c r="G190" t="s">
        <v>82</v>
      </c>
      <c r="I190" s="16">
        <v>0</v>
      </c>
      <c r="L190" s="16">
        <v>0</v>
      </c>
      <c r="M190" s="16">
        <v>0</v>
      </c>
      <c r="N190" s="16">
        <v>0</v>
      </c>
      <c r="O190" s="16">
        <v>0</v>
      </c>
      <c r="P190" s="16">
        <v>0</v>
      </c>
      <c r="Q190" s="16">
        <v>0</v>
      </c>
    </row>
    <row r="191" spans="2:17" x14ac:dyDescent="0.35">
      <c r="D191" t="s">
        <v>172</v>
      </c>
      <c r="G191" t="s">
        <v>81</v>
      </c>
      <c r="I191" s="13">
        <f>I171</f>
        <v>12</v>
      </c>
      <c r="L191" s="13">
        <f t="shared" ref="L191:Q191" si="15">L171</f>
        <v>6</v>
      </c>
      <c r="M191" s="13">
        <f t="shared" si="15"/>
        <v>12</v>
      </c>
      <c r="N191" s="13">
        <f t="shared" si="15"/>
        <v>24</v>
      </c>
      <c r="O191" s="13">
        <f t="shared" si="15"/>
        <v>48</v>
      </c>
      <c r="P191" s="13">
        <f t="shared" si="15"/>
        <v>48</v>
      </c>
      <c r="Q191" s="13">
        <f t="shared" si="15"/>
        <v>48</v>
      </c>
    </row>
    <row r="192" spans="2:17" x14ac:dyDescent="0.35">
      <c r="G192" t="s">
        <v>82</v>
      </c>
      <c r="I192" s="16">
        <f>I171-I184</f>
        <v>7.8005247999999998</v>
      </c>
      <c r="L192" s="16">
        <f t="shared" ref="L192:Q192" si="16">L171-L184</f>
        <v>5.3952755712</v>
      </c>
      <c r="M192" s="16">
        <f t="shared" si="16"/>
        <v>9.9842519040000006</v>
      </c>
      <c r="N192" s="16">
        <f t="shared" si="16"/>
        <v>23.580052479999999</v>
      </c>
      <c r="O192" s="16">
        <f t="shared" si="16"/>
        <v>47.160104959999998</v>
      </c>
      <c r="P192" s="16">
        <f t="shared" si="16"/>
        <v>45.900262400000003</v>
      </c>
      <c r="Q192" s="16">
        <f t="shared" si="16"/>
        <v>43.800524799999998</v>
      </c>
    </row>
    <row r="193" spans="1:19" x14ac:dyDescent="0.35">
      <c r="D193" t="s">
        <v>173</v>
      </c>
      <c r="G193" t="s">
        <v>81</v>
      </c>
      <c r="I193">
        <f>I171</f>
        <v>12</v>
      </c>
      <c r="L193">
        <f t="shared" ref="L193:Q193" si="17">L171</f>
        <v>6</v>
      </c>
      <c r="M193">
        <f t="shared" si="17"/>
        <v>12</v>
      </c>
      <c r="N193">
        <f t="shared" si="17"/>
        <v>24</v>
      </c>
      <c r="O193">
        <f t="shared" si="17"/>
        <v>48</v>
      </c>
      <c r="P193">
        <f t="shared" si="17"/>
        <v>48</v>
      </c>
      <c r="Q193">
        <f t="shared" si="17"/>
        <v>48</v>
      </c>
    </row>
    <row r="194" spans="1:19" x14ac:dyDescent="0.35">
      <c r="G194" t="s">
        <v>82</v>
      </c>
      <c r="I194" s="13">
        <f>I192-I189</f>
        <v>3.6010495999999996</v>
      </c>
      <c r="L194" s="13">
        <f t="shared" ref="L194:Q194" si="18">L192-L189</f>
        <v>4.7905511424</v>
      </c>
      <c r="M194" s="13">
        <f t="shared" si="18"/>
        <v>7.9685038080000012</v>
      </c>
      <c r="N194" s="13">
        <f t="shared" si="18"/>
        <v>23.160104959999998</v>
      </c>
      <c r="O194" s="13">
        <f t="shared" si="18"/>
        <v>46.320209919999996</v>
      </c>
      <c r="P194" s="13">
        <f t="shared" si="18"/>
        <v>43.800524800000005</v>
      </c>
      <c r="Q194" s="13">
        <f t="shared" si="18"/>
        <v>39.601049599999996</v>
      </c>
    </row>
    <row r="196" spans="1:19" x14ac:dyDescent="0.35">
      <c r="B196" s="83" t="s">
        <v>95</v>
      </c>
      <c r="G196" t="s">
        <v>96</v>
      </c>
      <c r="I196" s="8">
        <f>$E$298</f>
        <v>0.15</v>
      </c>
      <c r="L196" s="8">
        <f t="shared" ref="L196:Q196" si="19">$E$298</f>
        <v>0.15</v>
      </c>
      <c r="M196" s="8">
        <f t="shared" si="19"/>
        <v>0.15</v>
      </c>
      <c r="N196" s="8">
        <f t="shared" si="19"/>
        <v>0.15</v>
      </c>
      <c r="O196" s="8">
        <f t="shared" si="19"/>
        <v>0.15</v>
      </c>
      <c r="P196" s="8">
        <f t="shared" si="19"/>
        <v>0.15</v>
      </c>
      <c r="Q196" s="8">
        <f t="shared" si="19"/>
        <v>0.15</v>
      </c>
      <c r="S196" t="s">
        <v>1868</v>
      </c>
    </row>
    <row r="197" spans="1:19" x14ac:dyDescent="0.35">
      <c r="G197" t="s">
        <v>93</v>
      </c>
      <c r="I197" s="15">
        <f>(I201/1000)*24*365</f>
        <v>0.52559999999999996</v>
      </c>
      <c r="L197" s="13">
        <f t="shared" ref="L197:Q197" si="20">(L201/1000)*24*365</f>
        <v>0.26279999999999998</v>
      </c>
      <c r="M197" s="13">
        <f t="shared" si="20"/>
        <v>0.52559999999999996</v>
      </c>
      <c r="N197" s="13">
        <f t="shared" si="20"/>
        <v>1.0511999999999999</v>
      </c>
      <c r="O197" s="13">
        <f t="shared" si="20"/>
        <v>2.1023999999999998</v>
      </c>
      <c r="P197" s="13">
        <f t="shared" si="20"/>
        <v>2.1023999999999998</v>
      </c>
      <c r="Q197" s="13">
        <f t="shared" si="20"/>
        <v>2.1023999999999998</v>
      </c>
    </row>
    <row r="198" spans="1:19" x14ac:dyDescent="0.35">
      <c r="G198" t="s">
        <v>94</v>
      </c>
      <c r="I198" s="9">
        <f>I196*I197</f>
        <v>7.8839999999999993E-2</v>
      </c>
      <c r="L198" s="9">
        <f t="shared" ref="L198:Q198" si="21">L196*L197</f>
        <v>3.9419999999999997E-2</v>
      </c>
      <c r="M198" s="9">
        <f t="shared" si="21"/>
        <v>7.8839999999999993E-2</v>
      </c>
      <c r="N198" s="9">
        <f t="shared" si="21"/>
        <v>0.15767999999999999</v>
      </c>
      <c r="O198" s="9">
        <f t="shared" si="21"/>
        <v>0.31535999999999997</v>
      </c>
      <c r="P198" s="9">
        <f t="shared" si="21"/>
        <v>0.31535999999999997</v>
      </c>
      <c r="Q198" s="9">
        <f t="shared" si="21"/>
        <v>0.31535999999999997</v>
      </c>
    </row>
    <row r="199" spans="1:19" x14ac:dyDescent="0.35">
      <c r="I199" s="8"/>
      <c r="L199" s="8"/>
      <c r="M199" s="8"/>
      <c r="N199" s="8"/>
      <c r="O199" s="8"/>
      <c r="P199" s="8"/>
      <c r="Q199" s="8"/>
    </row>
    <row r="200" spans="1:19" x14ac:dyDescent="0.35">
      <c r="B200" s="83" t="s">
        <v>91</v>
      </c>
      <c r="G200" t="s">
        <v>92</v>
      </c>
      <c r="I200">
        <v>5.0000000000000001E-3</v>
      </c>
      <c r="L200">
        <v>5.0000000000000001E-3</v>
      </c>
      <c r="M200">
        <v>5.0000000000000001E-3</v>
      </c>
      <c r="N200">
        <v>5.0000000000000001E-3</v>
      </c>
      <c r="O200">
        <v>5.0000000000000001E-3</v>
      </c>
      <c r="P200">
        <v>5.0000000000000001E-3</v>
      </c>
      <c r="Q200">
        <v>5.0000000000000001E-3</v>
      </c>
    </row>
    <row r="201" spans="1:19" x14ac:dyDescent="0.35">
      <c r="G201" t="s">
        <v>4</v>
      </c>
      <c r="I201">
        <f>I200*I171</f>
        <v>0.06</v>
      </c>
      <c r="L201" s="10">
        <f t="shared" ref="L201:Q201" si="22">L200*L171</f>
        <v>0.03</v>
      </c>
      <c r="M201" s="10">
        <f t="shared" si="22"/>
        <v>0.06</v>
      </c>
      <c r="N201" s="10">
        <f t="shared" si="22"/>
        <v>0.12</v>
      </c>
      <c r="O201" s="10">
        <f t="shared" si="22"/>
        <v>0.24</v>
      </c>
      <c r="P201" s="10">
        <f t="shared" si="22"/>
        <v>0.24</v>
      </c>
      <c r="Q201" s="10">
        <f t="shared" si="22"/>
        <v>0.24</v>
      </c>
    </row>
    <row r="204" spans="1:19" x14ac:dyDescent="0.35">
      <c r="B204" s="83" t="s">
        <v>174</v>
      </c>
      <c r="G204" t="s">
        <v>92</v>
      </c>
      <c r="I204">
        <v>0.03</v>
      </c>
      <c r="L204">
        <v>0.03</v>
      </c>
      <c r="M204">
        <v>0.03</v>
      </c>
      <c r="N204">
        <v>0.03</v>
      </c>
      <c r="O204">
        <v>0.03</v>
      </c>
      <c r="P204">
        <v>0.03</v>
      </c>
      <c r="Q204">
        <v>0.03</v>
      </c>
    </row>
    <row r="205" spans="1:19" x14ac:dyDescent="0.35">
      <c r="G205" t="s">
        <v>4</v>
      </c>
      <c r="I205">
        <f>I204*I171</f>
        <v>0.36</v>
      </c>
      <c r="L205">
        <f t="shared" ref="L205:Q205" si="23">L204*L171</f>
        <v>0.18</v>
      </c>
      <c r="M205">
        <f t="shared" si="23"/>
        <v>0.36</v>
      </c>
      <c r="N205">
        <f t="shared" si="23"/>
        <v>0.72</v>
      </c>
      <c r="O205">
        <f t="shared" si="23"/>
        <v>1.44</v>
      </c>
      <c r="P205">
        <f t="shared" si="23"/>
        <v>1.44</v>
      </c>
      <c r="Q205">
        <f t="shared" si="23"/>
        <v>1.44</v>
      </c>
    </row>
    <row r="206" spans="1:19" s="2" customFormat="1" x14ac:dyDescent="0.35">
      <c r="A206" s="93"/>
      <c r="B206" s="85"/>
      <c r="K206" s="21"/>
    </row>
    <row r="207" spans="1:19" s="2" customFormat="1" x14ac:dyDescent="0.35">
      <c r="A207" s="93"/>
      <c r="B207" s="85"/>
      <c r="K207" s="21"/>
    </row>
    <row r="208" spans="1:19" s="5" customFormat="1" x14ac:dyDescent="0.35">
      <c r="A208" s="86" t="s">
        <v>9227</v>
      </c>
      <c r="B208" s="84"/>
    </row>
    <row r="209" spans="1:30" s="2" customFormat="1" x14ac:dyDescent="0.35">
      <c r="A209" s="93"/>
      <c r="B209" s="85"/>
      <c r="K209" s="21"/>
    </row>
    <row r="210" spans="1:30" s="2" customFormat="1" x14ac:dyDescent="0.35">
      <c r="A210" s="93"/>
      <c r="B210" s="85"/>
      <c r="F210" s="238" t="s">
        <v>2759</v>
      </c>
      <c r="G210" s="238" t="s">
        <v>2757</v>
      </c>
      <c r="H210" s="238" t="s">
        <v>2745</v>
      </c>
      <c r="I210" s="238"/>
      <c r="J210" s="238" t="s">
        <v>2743</v>
      </c>
      <c r="L210" s="21"/>
      <c r="S210" s="85" t="s">
        <v>2767</v>
      </c>
      <c r="AB210" s="2" t="s">
        <v>2727</v>
      </c>
      <c r="AD210" s="2" t="s">
        <v>2891</v>
      </c>
    </row>
    <row r="211" spans="1:30" s="2" customFormat="1" x14ac:dyDescent="0.35">
      <c r="A211" s="93"/>
      <c r="B211" s="85"/>
      <c r="F211" s="238" t="s">
        <v>2760</v>
      </c>
      <c r="G211" s="238" t="s">
        <v>2742</v>
      </c>
      <c r="H211" s="238" t="s">
        <v>2742</v>
      </c>
      <c r="I211" s="238" t="s">
        <v>354</v>
      </c>
      <c r="J211" s="238" t="s">
        <v>2744</v>
      </c>
      <c r="L211" s="21"/>
    </row>
    <row r="212" spans="1:30" s="2" customFormat="1" x14ac:dyDescent="0.35">
      <c r="A212" s="93"/>
      <c r="F212" s="239" t="s">
        <v>2758</v>
      </c>
      <c r="G212" s="239" t="s">
        <v>2756</v>
      </c>
      <c r="H212" s="239" t="s">
        <v>2713</v>
      </c>
      <c r="I212" s="239" t="s">
        <v>2746</v>
      </c>
      <c r="J212" s="239" t="s">
        <v>2714</v>
      </c>
      <c r="L212" s="21"/>
      <c r="T212" s="228"/>
      <c r="U212" s="251" t="s">
        <v>2765</v>
      </c>
      <c r="V212" s="228">
        <f t="shared" ref="V212:AA212" si="24">V213/(V214*0.001)</f>
        <v>1600</v>
      </c>
      <c r="W212" s="252">
        <f t="shared" si="24"/>
        <v>800</v>
      </c>
      <c r="X212" s="252">
        <f t="shared" si="24"/>
        <v>400</v>
      </c>
      <c r="Y212" s="252">
        <f t="shared" si="24"/>
        <v>200</v>
      </c>
      <c r="Z212" s="252">
        <f t="shared" si="24"/>
        <v>120.30075187969925</v>
      </c>
      <c r="AA212" s="252">
        <f t="shared" si="24"/>
        <v>60</v>
      </c>
    </row>
    <row r="213" spans="1:30" s="2" customFormat="1" x14ac:dyDescent="0.35">
      <c r="A213" s="93"/>
      <c r="B213" s="85" t="s">
        <v>2723</v>
      </c>
      <c r="E213" s="2" t="s">
        <v>118</v>
      </c>
      <c r="F213" s="241">
        <v>1000</v>
      </c>
      <c r="G213" s="241">
        <v>3300</v>
      </c>
      <c r="H213" s="241">
        <v>10000</v>
      </c>
      <c r="I213" s="241">
        <v>33000</v>
      </c>
      <c r="J213" s="241">
        <v>100000</v>
      </c>
      <c r="L213" s="2" t="s">
        <v>2724</v>
      </c>
      <c r="U213" s="2" t="s">
        <v>2</v>
      </c>
      <c r="V213" s="2">
        <v>16</v>
      </c>
      <c r="W213" s="2">
        <v>16</v>
      </c>
      <c r="X213" s="2">
        <v>16</v>
      </c>
      <c r="Y213" s="2">
        <v>16</v>
      </c>
      <c r="Z213" s="2">
        <v>16</v>
      </c>
      <c r="AA213" s="2">
        <v>1.44</v>
      </c>
    </row>
    <row r="214" spans="1:30" s="2" customFormat="1" x14ac:dyDescent="0.35">
      <c r="A214" s="93"/>
      <c r="B214" s="85"/>
      <c r="E214" s="2" t="s">
        <v>2715</v>
      </c>
      <c r="F214" s="246">
        <f>1000000*1/F213</f>
        <v>1000</v>
      </c>
      <c r="G214" s="246">
        <f>1000000*1/G213</f>
        <v>303.030303030303</v>
      </c>
      <c r="H214" s="2">
        <f>1000000*1/H213</f>
        <v>100</v>
      </c>
      <c r="I214" s="246">
        <f>1000000*1/I213</f>
        <v>30.303030303030305</v>
      </c>
      <c r="J214" s="2">
        <f>1000000*1/J213</f>
        <v>10</v>
      </c>
      <c r="L214" s="21"/>
      <c r="U214" s="2" t="s">
        <v>1834</v>
      </c>
      <c r="V214" s="2">
        <v>10</v>
      </c>
      <c r="W214" s="2">
        <v>20</v>
      </c>
      <c r="X214" s="2">
        <v>40</v>
      </c>
      <c r="Y214" s="2">
        <v>80</v>
      </c>
      <c r="Z214" s="2">
        <v>133</v>
      </c>
      <c r="AA214" s="2">
        <v>24</v>
      </c>
    </row>
    <row r="215" spans="1:30" s="2" customFormat="1" x14ac:dyDescent="0.35">
      <c r="A215" s="93"/>
      <c r="B215" s="85"/>
      <c r="L215" s="21"/>
      <c r="U215" s="2" t="s">
        <v>2754</v>
      </c>
      <c r="Y215" s="2">
        <v>1000</v>
      </c>
      <c r="Z215" s="2">
        <v>1000</v>
      </c>
      <c r="AA215" s="2">
        <v>1000</v>
      </c>
    </row>
    <row r="216" spans="1:30" s="2" customFormat="1" x14ac:dyDescent="0.35">
      <c r="A216" s="93"/>
      <c r="B216" s="85" t="s">
        <v>2716</v>
      </c>
      <c r="E216" s="243" t="s">
        <v>2717</v>
      </c>
      <c r="F216" s="242">
        <v>0.15</v>
      </c>
      <c r="G216" s="242">
        <v>0.15</v>
      </c>
      <c r="H216" s="242">
        <v>0.15</v>
      </c>
      <c r="I216" s="242">
        <v>0.15</v>
      </c>
      <c r="J216" s="242">
        <v>0.15</v>
      </c>
      <c r="U216" s="2" t="s">
        <v>2766</v>
      </c>
      <c r="Y216" s="2">
        <f>Y215*0.304</f>
        <v>304</v>
      </c>
      <c r="Z216" s="2">
        <f>Z215*0.304</f>
        <v>304</v>
      </c>
      <c r="AA216" s="2">
        <f>AA215*0.304</f>
        <v>304</v>
      </c>
    </row>
    <row r="217" spans="1:30" s="2" customFormat="1" x14ac:dyDescent="0.35">
      <c r="A217" s="93"/>
      <c r="B217" s="85"/>
      <c r="E217" s="2" t="s">
        <v>148</v>
      </c>
      <c r="F217" s="246">
        <f>F216*F214</f>
        <v>150</v>
      </c>
      <c r="G217" s="246">
        <f>G216*G214</f>
        <v>45.454545454545446</v>
      </c>
      <c r="H217" s="2">
        <f>H216*H214</f>
        <v>15</v>
      </c>
      <c r="I217" s="245">
        <f>I216*I214</f>
        <v>4.5454545454545459</v>
      </c>
      <c r="J217" s="2">
        <f>J216*J214</f>
        <v>1.5</v>
      </c>
      <c r="L217" s="2" t="s">
        <v>2718</v>
      </c>
      <c r="U217" s="2" t="s">
        <v>2753</v>
      </c>
      <c r="Y217" s="241">
        <f>20*Y215</f>
        <v>20000</v>
      </c>
      <c r="Z217" s="241">
        <f>20*Z215</f>
        <v>20000</v>
      </c>
      <c r="AA217" s="241">
        <f>20*AA215</f>
        <v>20000</v>
      </c>
    </row>
    <row r="218" spans="1:30" s="2" customFormat="1" x14ac:dyDescent="0.35">
      <c r="A218" s="93"/>
      <c r="B218" s="85"/>
      <c r="U218" s="2" t="s">
        <v>2755</v>
      </c>
      <c r="Y218" s="250">
        <f>(Y217/1000000)*Y212</f>
        <v>4</v>
      </c>
      <c r="Z218" s="250">
        <f>(Z217/1000000)*Z212</f>
        <v>2.4060150375939848</v>
      </c>
      <c r="AA218" s="250">
        <f>(AA217/1000000)*AA212</f>
        <v>1.2</v>
      </c>
    </row>
    <row r="219" spans="1:30" s="2" customFormat="1" x14ac:dyDescent="0.35">
      <c r="A219" s="93"/>
      <c r="B219" s="85" t="s">
        <v>2719</v>
      </c>
      <c r="E219" s="247" t="s">
        <v>2728</v>
      </c>
      <c r="F219" s="2">
        <v>20</v>
      </c>
      <c r="G219" s="2">
        <v>20</v>
      </c>
      <c r="H219" s="2">
        <v>20</v>
      </c>
      <c r="I219" s="2">
        <v>20</v>
      </c>
      <c r="J219" s="2">
        <v>20</v>
      </c>
      <c r="L219" s="2" t="s">
        <v>2725</v>
      </c>
    </row>
    <row r="220" spans="1:30" s="2" customFormat="1" x14ac:dyDescent="0.35">
      <c r="A220" s="93"/>
      <c r="B220" s="248" t="s">
        <v>2739</v>
      </c>
      <c r="E220" s="247" t="s">
        <v>2736</v>
      </c>
      <c r="F220" s="2">
        <v>2</v>
      </c>
      <c r="G220" s="2">
        <v>2</v>
      </c>
      <c r="H220" s="2">
        <v>2</v>
      </c>
      <c r="I220" s="2">
        <v>2</v>
      </c>
      <c r="J220" s="2">
        <v>2</v>
      </c>
    </row>
    <row r="221" spans="1:30" s="2" customFormat="1" x14ac:dyDescent="0.35">
      <c r="A221" s="93"/>
      <c r="B221" s="248" t="s">
        <v>2720</v>
      </c>
      <c r="E221" s="247" t="s">
        <v>2737</v>
      </c>
      <c r="F221" s="246">
        <f>1000*F217/F219</f>
        <v>7500</v>
      </c>
      <c r="G221" s="246">
        <f>1000*G217/G219</f>
        <v>2272.7272727272725</v>
      </c>
      <c r="H221" s="2">
        <f>1000*H217/H219</f>
        <v>750</v>
      </c>
      <c r="I221" s="246">
        <f>1000*I217/I219</f>
        <v>227.27272727272731</v>
      </c>
      <c r="J221" s="2">
        <f>1000*J217/J219</f>
        <v>75</v>
      </c>
    </row>
    <row r="222" spans="1:30" s="2" customFormat="1" x14ac:dyDescent="0.35">
      <c r="A222" s="93"/>
      <c r="E222" s="2" t="s">
        <v>351</v>
      </c>
      <c r="F222" s="241">
        <f>F221/F220</f>
        <v>3750</v>
      </c>
      <c r="G222" s="241">
        <f>G221/G220</f>
        <v>1136.3636363636363</v>
      </c>
      <c r="H222" s="241">
        <f>H221/H220</f>
        <v>375</v>
      </c>
      <c r="I222" s="241">
        <f>I221/I220</f>
        <v>113.63636363636365</v>
      </c>
      <c r="J222" s="241">
        <f>J221/J220</f>
        <v>37.5</v>
      </c>
    </row>
    <row r="223" spans="1:30" s="2" customFormat="1" x14ac:dyDescent="0.35">
      <c r="A223" s="93"/>
      <c r="E223" s="2" t="s">
        <v>352</v>
      </c>
      <c r="F223" s="246">
        <f>F222/(39/12)</f>
        <v>1153.8461538461538</v>
      </c>
      <c r="G223" s="246">
        <f>G222/(39/12)</f>
        <v>349.6503496503496</v>
      </c>
      <c r="H223" s="246">
        <f>H222/(39/12)</f>
        <v>115.38461538461539</v>
      </c>
      <c r="I223" s="246">
        <f>I222/(39/12)</f>
        <v>34.965034965034974</v>
      </c>
      <c r="J223" s="246">
        <f>J222/(39/12)</f>
        <v>11.538461538461538</v>
      </c>
    </row>
    <row r="224" spans="1:30" s="2" customFormat="1" x14ac:dyDescent="0.35">
      <c r="A224" s="93"/>
      <c r="B224" s="85"/>
    </row>
    <row r="225" spans="1:19" s="2" customFormat="1" x14ac:dyDescent="0.35">
      <c r="A225" s="93"/>
      <c r="B225" s="85" t="s">
        <v>2731</v>
      </c>
      <c r="E225" s="2" t="s">
        <v>2722</v>
      </c>
      <c r="F225" s="2">
        <v>20</v>
      </c>
      <c r="G225" s="2">
        <v>20</v>
      </c>
      <c r="H225" s="2">
        <v>20</v>
      </c>
      <c r="I225" s="2">
        <v>20</v>
      </c>
      <c r="J225" s="2">
        <v>20</v>
      </c>
    </row>
    <row r="226" spans="1:19" s="2" customFormat="1" x14ac:dyDescent="0.35">
      <c r="A226" s="93"/>
      <c r="B226" s="85"/>
      <c r="E226" s="2" t="s">
        <v>2721</v>
      </c>
      <c r="F226" s="241">
        <f>F225*F222</f>
        <v>75000</v>
      </c>
      <c r="G226" s="241">
        <f>G225*G222</f>
        <v>22727.272727272724</v>
      </c>
      <c r="H226" s="241">
        <f>H225*H222</f>
        <v>7500</v>
      </c>
      <c r="I226" s="241">
        <f>I225*I222</f>
        <v>2272.727272727273</v>
      </c>
      <c r="J226" s="241">
        <f>J225*J222</f>
        <v>750</v>
      </c>
    </row>
    <row r="227" spans="1:19" s="2" customFormat="1" x14ac:dyDescent="0.35">
      <c r="A227" s="93"/>
      <c r="B227" s="85"/>
      <c r="E227" s="2" t="s">
        <v>64</v>
      </c>
      <c r="F227" s="241">
        <v>5</v>
      </c>
      <c r="G227" s="241">
        <v>5</v>
      </c>
      <c r="H227" s="241">
        <v>5</v>
      </c>
      <c r="I227" s="241">
        <v>5</v>
      </c>
      <c r="J227" s="241">
        <v>5</v>
      </c>
      <c r="L227" s="2" t="s">
        <v>2729</v>
      </c>
      <c r="R227" s="1" t="s">
        <v>2741</v>
      </c>
    </row>
    <row r="228" spans="1:19" s="2" customFormat="1" x14ac:dyDescent="0.35">
      <c r="A228" s="93"/>
      <c r="B228" s="85"/>
      <c r="E228" s="2" t="s">
        <v>1834</v>
      </c>
      <c r="F228" s="245">
        <f>(F226*0.000000000001)*F227/(F217*0.000001)*1000</f>
        <v>2.5000000000000004</v>
      </c>
      <c r="G228" s="245">
        <f>(G226*0.000000000001)*G227/(G217*0.000001)*1000</f>
        <v>2.5000000000000004</v>
      </c>
      <c r="H228" s="245">
        <f>(H226*0.000000000001)*H227/(H217*0.000001)*1000</f>
        <v>2.5</v>
      </c>
      <c r="I228" s="245">
        <f>(I226*0.000000000001)*I227/(I217*0.000001)*1000</f>
        <v>2.5000000000000004</v>
      </c>
      <c r="J228" s="245">
        <f>(J226*0.000000000001)*J227/(J217*0.000001)*1000</f>
        <v>2.4999999999999996</v>
      </c>
      <c r="L228" s="2" t="s">
        <v>2727</v>
      </c>
      <c r="R228" s="1" t="s">
        <v>2726</v>
      </c>
    </row>
    <row r="229" spans="1:19" s="2" customFormat="1" x14ac:dyDescent="0.35">
      <c r="A229" s="93"/>
      <c r="B229" s="85"/>
      <c r="F229" s="245"/>
      <c r="G229" s="245"/>
      <c r="H229" s="245"/>
      <c r="I229" s="245"/>
      <c r="J229" s="245"/>
      <c r="R229" s="1"/>
    </row>
    <row r="230" spans="1:19" s="2" customFormat="1" x14ac:dyDescent="0.35">
      <c r="A230" s="93"/>
      <c r="B230" s="85" t="s">
        <v>2730</v>
      </c>
      <c r="E230" s="2" t="s">
        <v>199</v>
      </c>
      <c r="F230" s="2">
        <v>250</v>
      </c>
      <c r="G230" s="2">
        <v>250</v>
      </c>
      <c r="H230" s="2">
        <v>250</v>
      </c>
      <c r="I230" s="2">
        <v>250</v>
      </c>
      <c r="J230" s="2">
        <v>250</v>
      </c>
      <c r="L230" s="2" t="s">
        <v>2733</v>
      </c>
      <c r="R230" s="1" t="s">
        <v>2732</v>
      </c>
    </row>
    <row r="231" spans="1:19" s="2" customFormat="1" x14ac:dyDescent="0.35">
      <c r="A231" s="93"/>
      <c r="B231" s="248" t="s">
        <v>2740</v>
      </c>
      <c r="E231" s="2" t="s">
        <v>40</v>
      </c>
      <c r="F231" s="2">
        <f>(F230*0.001)/(F228*0.001)</f>
        <v>99.999999999999986</v>
      </c>
      <c r="G231" s="2">
        <f>(G230*0.001)/(G228*0.001)</f>
        <v>99.999999999999986</v>
      </c>
      <c r="H231" s="2">
        <f>(H230*0.001)/(H228*0.001)</f>
        <v>100</v>
      </c>
      <c r="I231" s="2">
        <f>(I230*0.001)/(I228*0.001)</f>
        <v>99.999999999999986</v>
      </c>
      <c r="J231" s="2">
        <f>(J230*0.001)/(J228*0.001)</f>
        <v>100.00000000000001</v>
      </c>
    </row>
    <row r="232" spans="1:19" s="2" customFormat="1" x14ac:dyDescent="0.35">
      <c r="A232" s="93"/>
      <c r="B232" s="85"/>
      <c r="E232" s="240" t="s">
        <v>2734</v>
      </c>
      <c r="F232" s="2">
        <v>0.75</v>
      </c>
      <c r="G232" s="2">
        <v>0.75</v>
      </c>
      <c r="H232" s="2">
        <v>0.75</v>
      </c>
      <c r="I232" s="2">
        <v>0.75</v>
      </c>
      <c r="J232" s="2">
        <v>0.75</v>
      </c>
    </row>
    <row r="233" spans="1:19" s="2" customFormat="1" x14ac:dyDescent="0.35">
      <c r="A233" s="93"/>
      <c r="B233" s="85"/>
      <c r="E233" s="2" t="s">
        <v>64</v>
      </c>
      <c r="F233" s="245">
        <f>SQRT(F232*F231)</f>
        <v>8.6602540378443855</v>
      </c>
      <c r="G233" s="245">
        <f>SQRT(G232*G231)</f>
        <v>8.6602540378443855</v>
      </c>
      <c r="H233" s="245">
        <f>SQRT(H232*H231)</f>
        <v>8.6602540378443873</v>
      </c>
      <c r="I233" s="245">
        <f>SQRT(I232*I231)</f>
        <v>8.6602540378443855</v>
      </c>
      <c r="J233" s="245">
        <f>SQRT(J232*J231)</f>
        <v>8.6602540378443873</v>
      </c>
      <c r="L233" s="2" t="s">
        <v>2735</v>
      </c>
    </row>
    <row r="234" spans="1:19" s="2" customFormat="1" x14ac:dyDescent="0.35">
      <c r="A234" s="93"/>
      <c r="B234" s="85"/>
      <c r="E234" s="2" t="s">
        <v>38</v>
      </c>
      <c r="F234" s="244">
        <f>F233/F231</f>
        <v>8.6602540378443865E-2</v>
      </c>
      <c r="G234" s="244">
        <f>G233/G231</f>
        <v>8.6602540378443865E-2</v>
      </c>
      <c r="H234" s="244">
        <f>H233/H231</f>
        <v>8.6602540378443879E-2</v>
      </c>
      <c r="I234" s="244">
        <f>I233/I231</f>
        <v>8.6602540378443865E-2</v>
      </c>
      <c r="J234" s="244">
        <f>J233/J231</f>
        <v>8.6602540378443865E-2</v>
      </c>
    </row>
    <row r="235" spans="1:19" s="2" customFormat="1" x14ac:dyDescent="0.35">
      <c r="A235" s="93"/>
      <c r="B235" s="85"/>
      <c r="E235" s="2" t="s">
        <v>2738</v>
      </c>
      <c r="F235" s="2">
        <f>F233*F234</f>
        <v>0.74999999999999989</v>
      </c>
      <c r="G235" s="2">
        <f>G233*G234</f>
        <v>0.74999999999999989</v>
      </c>
      <c r="H235" s="2">
        <f>H233*H234</f>
        <v>0.75000000000000022</v>
      </c>
      <c r="I235" s="2">
        <f>I233*I234</f>
        <v>0.74999999999999989</v>
      </c>
      <c r="J235" s="2">
        <f>J233*J234</f>
        <v>0.75000000000000011</v>
      </c>
    </row>
    <row r="236" spans="1:19" s="2" customFormat="1" x14ac:dyDescent="0.35">
      <c r="A236" s="93"/>
      <c r="B236" s="85"/>
    </row>
    <row r="237" spans="1:19" s="2" customFormat="1" ht="37" thickBot="1" x14ac:dyDescent="0.4">
      <c r="A237" s="93"/>
      <c r="B237" s="85" t="s">
        <v>9229</v>
      </c>
      <c r="E237" s="289" t="s">
        <v>2856</v>
      </c>
      <c r="F237" s="289" t="s">
        <v>2866</v>
      </c>
      <c r="G237" s="289" t="s">
        <v>2874</v>
      </c>
      <c r="H237" s="289" t="s">
        <v>2858</v>
      </c>
      <c r="I237" s="289" t="s">
        <v>2857</v>
      </c>
      <c r="J237" s="50"/>
      <c r="K237" s="50"/>
      <c r="L237" s="50"/>
      <c r="M237"/>
      <c r="N237"/>
      <c r="O237"/>
      <c r="P237"/>
      <c r="Q237"/>
      <c r="R237"/>
      <c r="S237"/>
    </row>
    <row r="238" spans="1:19" ht="15.5" x14ac:dyDescent="0.35">
      <c r="E238" s="291" t="s">
        <v>2881</v>
      </c>
      <c r="F238" s="291" t="s">
        <v>2867</v>
      </c>
      <c r="G238" s="292" t="s">
        <v>2859</v>
      </c>
      <c r="H238" s="290">
        <f t="shared" ref="H238:H244" si="25">10*Q238</f>
        <v>10</v>
      </c>
      <c r="I238" s="288" t="s">
        <v>2875</v>
      </c>
      <c r="K238" s="128"/>
      <c r="L238" s="128"/>
      <c r="M238" s="128"/>
      <c r="N238" s="128"/>
      <c r="Q238">
        <v>1</v>
      </c>
    </row>
    <row r="239" spans="1:19" ht="15.5" x14ac:dyDescent="0.35">
      <c r="E239" s="291" t="s">
        <v>2884</v>
      </c>
      <c r="F239" s="291" t="s">
        <v>2868</v>
      </c>
      <c r="G239" s="292" t="s">
        <v>2860</v>
      </c>
      <c r="H239" s="290">
        <f t="shared" si="25"/>
        <v>33</v>
      </c>
      <c r="I239" s="288" t="s">
        <v>2876</v>
      </c>
      <c r="K239" s="128"/>
      <c r="L239" s="128"/>
      <c r="M239" s="128"/>
      <c r="N239" s="128"/>
      <c r="Q239">
        <v>3.3</v>
      </c>
    </row>
    <row r="240" spans="1:19" ht="15.5" x14ac:dyDescent="0.35">
      <c r="E240" s="291" t="s">
        <v>2882</v>
      </c>
      <c r="F240" s="291" t="s">
        <v>2869</v>
      </c>
      <c r="G240" s="292" t="s">
        <v>2861</v>
      </c>
      <c r="H240" s="290">
        <f t="shared" si="25"/>
        <v>100</v>
      </c>
      <c r="I240" s="288" t="s">
        <v>2877</v>
      </c>
      <c r="K240" s="128"/>
      <c r="L240" s="128"/>
      <c r="M240" s="128"/>
      <c r="N240" s="128"/>
      <c r="Q240">
        <v>10</v>
      </c>
    </row>
    <row r="241" spans="1:17" ht="15.5" x14ac:dyDescent="0.35">
      <c r="E241" s="291" t="s">
        <v>2885</v>
      </c>
      <c r="F241" s="291" t="s">
        <v>2870</v>
      </c>
      <c r="G241" s="292" t="s">
        <v>2862</v>
      </c>
      <c r="H241" s="290">
        <f t="shared" si="25"/>
        <v>330</v>
      </c>
      <c r="I241" s="288" t="s">
        <v>2878</v>
      </c>
      <c r="K241" s="128"/>
      <c r="L241" s="128"/>
      <c r="M241" s="128"/>
      <c r="N241" s="128"/>
      <c r="Q241">
        <v>33</v>
      </c>
    </row>
    <row r="242" spans="1:17" ht="15.5" x14ac:dyDescent="0.35">
      <c r="E242" s="291" t="s">
        <v>2883</v>
      </c>
      <c r="F242" s="291" t="s">
        <v>2871</v>
      </c>
      <c r="G242" s="292" t="s">
        <v>2863</v>
      </c>
      <c r="H242" s="290">
        <f t="shared" si="25"/>
        <v>1000</v>
      </c>
      <c r="I242" s="288" t="s">
        <v>2853</v>
      </c>
      <c r="K242" s="128"/>
      <c r="L242" s="128"/>
      <c r="M242" s="128"/>
      <c r="N242" s="128"/>
      <c r="Q242">
        <v>100</v>
      </c>
    </row>
    <row r="243" spans="1:17" ht="15.5" x14ac:dyDescent="0.35">
      <c r="E243" s="291" t="s">
        <v>2854</v>
      </c>
      <c r="F243" s="291" t="s">
        <v>2872</v>
      </c>
      <c r="G243" s="292" t="s">
        <v>2864</v>
      </c>
      <c r="H243" s="290">
        <f t="shared" si="25"/>
        <v>3330</v>
      </c>
      <c r="I243" s="288" t="s">
        <v>2879</v>
      </c>
      <c r="K243" s="128"/>
      <c r="L243" s="128"/>
      <c r="M243" s="128"/>
      <c r="N243" s="128"/>
      <c r="Q243">
        <v>333</v>
      </c>
    </row>
    <row r="244" spans="1:17" ht="15.5" x14ac:dyDescent="0.35">
      <c r="E244" s="291" t="s">
        <v>2855</v>
      </c>
      <c r="F244" s="291" t="s">
        <v>2873</v>
      </c>
      <c r="G244" s="292" t="s">
        <v>2865</v>
      </c>
      <c r="H244" s="290">
        <f t="shared" si="25"/>
        <v>10000</v>
      </c>
      <c r="I244" s="288" t="s">
        <v>2880</v>
      </c>
      <c r="K244" s="128"/>
      <c r="L244" s="128"/>
      <c r="M244" s="128"/>
      <c r="N244" s="128"/>
      <c r="Q244">
        <v>1000</v>
      </c>
    </row>
    <row r="245" spans="1:17" s="2" customFormat="1" x14ac:dyDescent="0.35">
      <c r="A245" s="93"/>
      <c r="B245" s="85"/>
    </row>
    <row r="246" spans="1:17" s="5" customFormat="1" x14ac:dyDescent="0.35">
      <c r="A246" s="86" t="s">
        <v>9228</v>
      </c>
      <c r="B246" s="84"/>
    </row>
    <row r="248" spans="1:17" x14ac:dyDescent="0.35">
      <c r="B248" s="83" t="s">
        <v>236</v>
      </c>
      <c r="E248" t="s">
        <v>2</v>
      </c>
      <c r="F248">
        <v>300</v>
      </c>
    </row>
    <row r="250" spans="1:17" x14ac:dyDescent="0.35">
      <c r="B250" s="83" t="s">
        <v>9193</v>
      </c>
      <c r="D250" t="s">
        <v>230</v>
      </c>
      <c r="E250" t="s">
        <v>40</v>
      </c>
      <c r="F250" s="24">
        <v>1000000</v>
      </c>
    </row>
    <row r="251" spans="1:17" x14ac:dyDescent="0.35">
      <c r="D251" t="s">
        <v>35</v>
      </c>
      <c r="E251" t="s">
        <v>38</v>
      </c>
      <c r="F251" s="26">
        <f>F248/F250</f>
        <v>2.9999999999999997E-4</v>
      </c>
    </row>
    <row r="252" spans="1:17" x14ac:dyDescent="0.35">
      <c r="D252" t="s">
        <v>65</v>
      </c>
      <c r="E252" t="s">
        <v>4</v>
      </c>
      <c r="F252" s="25">
        <f>F248^2/F250</f>
        <v>0.09</v>
      </c>
    </row>
    <row r="253" spans="1:17" x14ac:dyDescent="0.35">
      <c r="F253" s="22"/>
    </row>
    <row r="254" spans="1:17" x14ac:dyDescent="0.35">
      <c r="D254" t="s">
        <v>231</v>
      </c>
      <c r="E254" t="s">
        <v>232</v>
      </c>
      <c r="F254">
        <v>10</v>
      </c>
    </row>
    <row r="255" spans="1:17" x14ac:dyDescent="0.35">
      <c r="D255" t="s">
        <v>233</v>
      </c>
      <c r="E255" t="s">
        <v>235</v>
      </c>
      <c r="F255" s="22">
        <f>F254*0.000000000001*F250</f>
        <v>9.9999999999999991E-6</v>
      </c>
    </row>
    <row r="256" spans="1:17" x14ac:dyDescent="0.35">
      <c r="D256" t="s">
        <v>234</v>
      </c>
      <c r="E256" t="s">
        <v>115</v>
      </c>
      <c r="F256" s="23">
        <f>1/(6.2*F255)</f>
        <v>16129.032258064515</v>
      </c>
    </row>
    <row r="257" spans="1:9" x14ac:dyDescent="0.35">
      <c r="F257" s="23"/>
    </row>
    <row r="258" spans="1:9" x14ac:dyDescent="0.35">
      <c r="B258" s="83" t="s">
        <v>239</v>
      </c>
    </row>
    <row r="259" spans="1:9" x14ac:dyDescent="0.35">
      <c r="D259" t="s">
        <v>237</v>
      </c>
      <c r="E259" t="s">
        <v>5</v>
      </c>
      <c r="F259">
        <v>20</v>
      </c>
    </row>
    <row r="260" spans="1:9" x14ac:dyDescent="0.35">
      <c r="D260" t="s">
        <v>238</v>
      </c>
      <c r="E260" t="s">
        <v>40</v>
      </c>
      <c r="F260" s="10">
        <f>L110*12/39</f>
        <v>6.4607310769230781E-3</v>
      </c>
    </row>
    <row r="261" spans="1:9" x14ac:dyDescent="0.35">
      <c r="D261" t="s">
        <v>240</v>
      </c>
      <c r="E261" t="s">
        <v>4</v>
      </c>
      <c r="F261" s="10">
        <f>F259^2*F260</f>
        <v>2.5842924307692314</v>
      </c>
    </row>
    <row r="262" spans="1:9" s="2" customFormat="1" x14ac:dyDescent="0.35">
      <c r="A262" s="93"/>
      <c r="B262" s="85"/>
    </row>
    <row r="263" spans="1:9" s="2" customFormat="1" x14ac:dyDescent="0.35">
      <c r="A263" s="93"/>
      <c r="B263" s="85" t="s">
        <v>2748</v>
      </c>
      <c r="D263" s="2" t="s">
        <v>2749</v>
      </c>
      <c r="E263" s="2">
        <v>130</v>
      </c>
      <c r="F263" s="2">
        <v>130</v>
      </c>
    </row>
    <row r="264" spans="1:9" s="2" customFormat="1" x14ac:dyDescent="0.35">
      <c r="A264" s="93"/>
      <c r="B264" s="85"/>
      <c r="D264" s="2" t="s">
        <v>1770</v>
      </c>
      <c r="E264" s="2">
        <v>1</v>
      </c>
      <c r="F264" s="2">
        <v>32</v>
      </c>
    </row>
    <row r="265" spans="1:9" s="2" customFormat="1" x14ac:dyDescent="0.35">
      <c r="A265" s="93"/>
      <c r="B265" s="85"/>
      <c r="D265" s="2" t="s">
        <v>2721</v>
      </c>
      <c r="E265" s="2">
        <f>E264*E263</f>
        <v>130</v>
      </c>
      <c r="F265" s="2">
        <f>F264*F263</f>
        <v>4160</v>
      </c>
    </row>
    <row r="266" spans="1:9" s="2" customFormat="1" x14ac:dyDescent="0.35">
      <c r="A266" s="93"/>
      <c r="B266" s="85"/>
      <c r="D266" s="2" t="s">
        <v>40</v>
      </c>
      <c r="E266" s="2">
        <v>100</v>
      </c>
      <c r="F266" s="2">
        <v>100</v>
      </c>
    </row>
    <row r="267" spans="1:9" s="2" customFormat="1" x14ac:dyDescent="0.35">
      <c r="A267" s="93"/>
      <c r="B267" s="85"/>
      <c r="D267" s="2" t="s">
        <v>2747</v>
      </c>
      <c r="E267" s="2">
        <f>E266*E265/1000</f>
        <v>13</v>
      </c>
      <c r="F267" s="2">
        <f>F266*F265/1000</f>
        <v>416</v>
      </c>
      <c r="H267" s="2" t="s">
        <v>2750</v>
      </c>
    </row>
    <row r="268" spans="1:9" s="2" customFormat="1" x14ac:dyDescent="0.35">
      <c r="A268" s="93"/>
      <c r="B268" s="85"/>
    </row>
    <row r="269" spans="1:9" s="2" customFormat="1" x14ac:dyDescent="0.35">
      <c r="A269" s="93"/>
      <c r="B269" s="85" t="s">
        <v>1842</v>
      </c>
      <c r="D269" s="2" t="s">
        <v>2752</v>
      </c>
      <c r="I269" s="1" t="s">
        <v>2751</v>
      </c>
    </row>
    <row r="270" spans="1:9" s="2" customFormat="1" x14ac:dyDescent="0.35">
      <c r="A270" s="93"/>
      <c r="B270" s="85"/>
      <c r="I270" s="1"/>
    </row>
    <row r="271" spans="1:9" s="5" customFormat="1" x14ac:dyDescent="0.35">
      <c r="A271" s="86" t="s">
        <v>104</v>
      </c>
      <c r="B271" s="84"/>
    </row>
    <row r="273" spans="1:11" x14ac:dyDescent="0.35">
      <c r="B273" s="83" t="s">
        <v>100</v>
      </c>
      <c r="G273" t="s">
        <v>101</v>
      </c>
    </row>
    <row r="274" spans="1:11" x14ac:dyDescent="0.35">
      <c r="B274" s="83" t="s">
        <v>105</v>
      </c>
      <c r="G274" t="s">
        <v>102</v>
      </c>
    </row>
    <row r="275" spans="1:11" x14ac:dyDescent="0.35">
      <c r="B275" s="83" t="s">
        <v>106</v>
      </c>
      <c r="G275" t="s">
        <v>103</v>
      </c>
    </row>
    <row r="277" spans="1:11" s="5" customFormat="1" x14ac:dyDescent="0.35">
      <c r="A277" s="86" t="s">
        <v>652</v>
      </c>
      <c r="B277" s="84"/>
    </row>
    <row r="278" spans="1:11" s="2" customFormat="1" x14ac:dyDescent="0.35">
      <c r="A278" s="93"/>
      <c r="B278" s="85"/>
    </row>
    <row r="279" spans="1:11" s="2" customFormat="1" x14ac:dyDescent="0.35">
      <c r="A279" s="93"/>
      <c r="B279" s="85" t="s">
        <v>144</v>
      </c>
      <c r="F279" s="2" t="s">
        <v>145</v>
      </c>
      <c r="K279" s="21" t="s">
        <v>143</v>
      </c>
    </row>
    <row r="280" spans="1:11" s="2" customFormat="1" x14ac:dyDescent="0.35">
      <c r="A280" s="93"/>
      <c r="B280" s="85"/>
    </row>
    <row r="281" spans="1:11" s="2" customFormat="1" x14ac:dyDescent="0.35">
      <c r="A281" s="93"/>
      <c r="B281" s="85" t="s">
        <v>146</v>
      </c>
      <c r="F281" s="2" t="s">
        <v>138</v>
      </c>
      <c r="K281" s="2" t="s">
        <v>137</v>
      </c>
    </row>
    <row r="282" spans="1:11" s="2" customFormat="1" x14ac:dyDescent="0.35">
      <c r="A282" s="93"/>
      <c r="B282" s="85"/>
      <c r="F282" s="2" t="s">
        <v>140</v>
      </c>
      <c r="K282" s="2" t="s">
        <v>139</v>
      </c>
    </row>
    <row r="283" spans="1:11" s="2" customFormat="1" x14ac:dyDescent="0.35">
      <c r="A283" s="93"/>
      <c r="B283" s="85"/>
      <c r="F283" s="2" t="s">
        <v>142</v>
      </c>
      <c r="K283" s="21" t="s">
        <v>141</v>
      </c>
    </row>
    <row r="284" spans="1:11" s="2" customFormat="1" x14ac:dyDescent="0.35">
      <c r="A284" s="93"/>
      <c r="B284" s="85"/>
      <c r="F284" s="2" t="s">
        <v>150</v>
      </c>
      <c r="K284" s="21" t="s">
        <v>149</v>
      </c>
    </row>
    <row r="285" spans="1:11" s="2" customFormat="1" x14ac:dyDescent="0.35">
      <c r="A285" s="93"/>
      <c r="B285" s="85"/>
      <c r="K285" s="21"/>
    </row>
    <row r="286" spans="1:11" s="5" customFormat="1" x14ac:dyDescent="0.35">
      <c r="A286" s="86" t="s">
        <v>221</v>
      </c>
      <c r="B286" s="84"/>
    </row>
    <row r="288" spans="1:11" x14ac:dyDescent="0.35">
      <c r="C288" t="s">
        <v>223</v>
      </c>
      <c r="G288" t="s">
        <v>222</v>
      </c>
    </row>
    <row r="289" spans="1:15" x14ac:dyDescent="0.35">
      <c r="D289" t="s">
        <v>224</v>
      </c>
    </row>
    <row r="291" spans="1:15" x14ac:dyDescent="0.35">
      <c r="C291" t="s">
        <v>225</v>
      </c>
    </row>
    <row r="292" spans="1:15" x14ac:dyDescent="0.35">
      <c r="D292" t="s">
        <v>224</v>
      </c>
    </row>
    <row r="294" spans="1:15" x14ac:dyDescent="0.35">
      <c r="C294" t="s">
        <v>227</v>
      </c>
      <c r="O294" s="1" t="s">
        <v>226</v>
      </c>
    </row>
    <row r="295" spans="1:15" x14ac:dyDescent="0.35">
      <c r="O295" s="1"/>
    </row>
    <row r="296" spans="1:15" s="5" customFormat="1" x14ac:dyDescent="0.35">
      <c r="A296" s="86" t="s">
        <v>2272</v>
      </c>
      <c r="B296" s="84"/>
    </row>
    <row r="297" spans="1:15" x14ac:dyDescent="0.35">
      <c r="O297" s="1"/>
    </row>
    <row r="298" spans="1:15" x14ac:dyDescent="0.35">
      <c r="B298" s="83" t="s">
        <v>95</v>
      </c>
      <c r="E298" s="8">
        <v>0.15</v>
      </c>
      <c r="G298" s="128" t="s">
        <v>96</v>
      </c>
      <c r="I298" t="s">
        <v>2275</v>
      </c>
      <c r="L298" s="8"/>
    </row>
    <row r="299" spans="1:15" x14ac:dyDescent="0.35">
      <c r="E299" s="180">
        <f>L198/(L201*1000)</f>
        <v>1.3139999999999998E-3</v>
      </c>
      <c r="G299" s="128" t="s">
        <v>2273</v>
      </c>
      <c r="I299" t="s">
        <v>2274</v>
      </c>
      <c r="L299" s="8"/>
      <c r="M299" s="8"/>
      <c r="N299" s="8"/>
      <c r="O299" s="8"/>
    </row>
    <row r="300" spans="1:15" x14ac:dyDescent="0.35">
      <c r="E300" s="180"/>
      <c r="G300" s="128"/>
      <c r="L300" s="8"/>
      <c r="M300" s="8"/>
      <c r="N300" s="8"/>
      <c r="O300" s="8"/>
    </row>
    <row r="301" spans="1:15" x14ac:dyDescent="0.35">
      <c r="B301" s="83" t="s">
        <v>2279</v>
      </c>
      <c r="E301" s="43">
        <v>2</v>
      </c>
      <c r="G301" s="128" t="s">
        <v>1167</v>
      </c>
      <c r="I301" t="s">
        <v>2276</v>
      </c>
      <c r="L301" s="8"/>
      <c r="M301" s="8"/>
      <c r="N301" s="8"/>
      <c r="O301" s="8"/>
    </row>
    <row r="302" spans="1:15" x14ac:dyDescent="0.35">
      <c r="E302">
        <v>1.5499999999999999E-3</v>
      </c>
      <c r="G302" s="128" t="s">
        <v>2277</v>
      </c>
      <c r="I302" t="s">
        <v>2278</v>
      </c>
      <c r="L302" s="8"/>
      <c r="M302" s="8"/>
      <c r="N302" s="8"/>
    </row>
    <row r="303" spans="1:15" x14ac:dyDescent="0.35">
      <c r="G303" s="128"/>
      <c r="L303" s="8"/>
      <c r="M303" s="8"/>
      <c r="N303" s="8"/>
    </row>
    <row r="304" spans="1:15" x14ac:dyDescent="0.35">
      <c r="B304" s="83" t="s">
        <v>2295</v>
      </c>
      <c r="E304">
        <v>1</v>
      </c>
      <c r="G304" s="128" t="s">
        <v>1834</v>
      </c>
      <c r="I304" t="s">
        <v>2194</v>
      </c>
      <c r="L304" s="8"/>
      <c r="M304" s="8"/>
      <c r="N304" s="8"/>
    </row>
    <row r="305" spans="1:18" x14ac:dyDescent="0.35">
      <c r="E305">
        <v>4</v>
      </c>
      <c r="G305" s="128" t="s">
        <v>1834</v>
      </c>
      <c r="I305" t="s">
        <v>2195</v>
      </c>
      <c r="L305" s="8"/>
      <c r="M305" s="8"/>
      <c r="N305" s="8"/>
    </row>
    <row r="306" spans="1:18" x14ac:dyDescent="0.35">
      <c r="E306">
        <v>16</v>
      </c>
      <c r="G306" s="128" t="s">
        <v>1834</v>
      </c>
      <c r="I306" t="s">
        <v>2196</v>
      </c>
      <c r="L306" s="8"/>
      <c r="M306" s="8"/>
      <c r="N306" s="8"/>
    </row>
    <row r="307" spans="1:18" x14ac:dyDescent="0.35">
      <c r="G307" s="128"/>
      <c r="I307" s="8"/>
      <c r="L307" s="8"/>
      <c r="M307" s="8"/>
      <c r="N307" s="8"/>
    </row>
    <row r="308" spans="1:18" s="5" customFormat="1" x14ac:dyDescent="0.35">
      <c r="A308" s="86" t="s">
        <v>2204</v>
      </c>
      <c r="B308" s="84"/>
    </row>
    <row r="309" spans="1:18" x14ac:dyDescent="0.35">
      <c r="O309" s="1"/>
    </row>
    <row r="310" spans="1:18" x14ac:dyDescent="0.35">
      <c r="B310" s="83" t="s">
        <v>979</v>
      </c>
      <c r="F310" t="s">
        <v>1910</v>
      </c>
    </row>
    <row r="311" spans="1:18" x14ac:dyDescent="0.35">
      <c r="F311" t="s">
        <v>1911</v>
      </c>
    </row>
    <row r="312" spans="1:18" x14ac:dyDescent="0.35">
      <c r="F312" t="s">
        <v>1912</v>
      </c>
    </row>
    <row r="314" spans="1:18" x14ac:dyDescent="0.35">
      <c r="B314" s="83" t="s">
        <v>2219</v>
      </c>
      <c r="F314" t="s">
        <v>1826</v>
      </c>
      <c r="K314" s="1"/>
      <c r="R314" s="1" t="s">
        <v>1827</v>
      </c>
    </row>
    <row r="315" spans="1:18" x14ac:dyDescent="0.35">
      <c r="F315" t="s">
        <v>243</v>
      </c>
      <c r="R315" s="1" t="s">
        <v>244</v>
      </c>
    </row>
    <row r="316" spans="1:18" x14ac:dyDescent="0.35">
      <c r="F316" t="s">
        <v>1897</v>
      </c>
      <c r="R316" s="1" t="s">
        <v>1829</v>
      </c>
    </row>
    <row r="317" spans="1:18" x14ac:dyDescent="0.35">
      <c r="R317" s="1"/>
    </row>
    <row r="318" spans="1:18" x14ac:dyDescent="0.35">
      <c r="B318" s="83" t="s">
        <v>2425</v>
      </c>
      <c r="F318" t="s">
        <v>2426</v>
      </c>
      <c r="R318" s="1" t="s">
        <v>2424</v>
      </c>
    </row>
    <row r="319" spans="1:18" x14ac:dyDescent="0.35">
      <c r="F319" t="s">
        <v>2428</v>
      </c>
      <c r="R319" s="1" t="s">
        <v>2427</v>
      </c>
    </row>
    <row r="320" spans="1:18" x14ac:dyDescent="0.35">
      <c r="R320" s="1"/>
    </row>
    <row r="321" spans="2:25" x14ac:dyDescent="0.35">
      <c r="B321" s="237" t="s">
        <v>5119</v>
      </c>
      <c r="F321" s="170" t="s">
        <v>2707</v>
      </c>
      <c r="N321" s="73" t="s">
        <v>1995</v>
      </c>
      <c r="O321" s="1" t="s">
        <v>1950</v>
      </c>
      <c r="P321" t="s">
        <v>0</v>
      </c>
      <c r="R321" s="73" t="s">
        <v>1952</v>
      </c>
      <c r="S321" s="1" t="s">
        <v>1951</v>
      </c>
      <c r="X321" s="73" t="s">
        <v>2071</v>
      </c>
      <c r="Y321" s="1" t="s">
        <v>2072</v>
      </c>
    </row>
    <row r="322" spans="2:25" x14ac:dyDescent="0.35">
      <c r="F322" s="170" t="s">
        <v>2708</v>
      </c>
      <c r="O322" s="1" t="s">
        <v>2706</v>
      </c>
      <c r="P322" t="s">
        <v>0</v>
      </c>
    </row>
    <row r="323" spans="2:25" x14ac:dyDescent="0.35">
      <c r="N323" s="1"/>
    </row>
    <row r="324" spans="2:25" x14ac:dyDescent="0.35">
      <c r="B324" s="83" t="s">
        <v>2527</v>
      </c>
      <c r="F324" t="s">
        <v>2070</v>
      </c>
      <c r="K324" s="1" t="s">
        <v>2017</v>
      </c>
    </row>
    <row r="325" spans="2:25" x14ac:dyDescent="0.35">
      <c r="F325" t="s">
        <v>2069</v>
      </c>
      <c r="K325" s="1" t="s">
        <v>2018</v>
      </c>
    </row>
    <row r="326" spans="2:25" x14ac:dyDescent="0.35">
      <c r="K326" s="1"/>
    </row>
    <row r="327" spans="2:25" x14ac:dyDescent="0.35">
      <c r="B327" s="83" t="s">
        <v>2420</v>
      </c>
      <c r="F327" t="s">
        <v>2422</v>
      </c>
      <c r="K327" s="1" t="s">
        <v>2419</v>
      </c>
    </row>
    <row r="328" spans="2:25" x14ac:dyDescent="0.35">
      <c r="F328" t="s">
        <v>2423</v>
      </c>
      <c r="K328" s="1" t="s">
        <v>2421</v>
      </c>
    </row>
    <row r="329" spans="2:25" x14ac:dyDescent="0.35">
      <c r="K329" s="1"/>
    </row>
    <row r="330" spans="2:25" x14ac:dyDescent="0.35">
      <c r="B330" s="83" t="s">
        <v>2528</v>
      </c>
      <c r="F330" t="s">
        <v>2530</v>
      </c>
      <c r="K330" s="1" t="s">
        <v>2529</v>
      </c>
    </row>
    <row r="331" spans="2:25" x14ac:dyDescent="0.35">
      <c r="K331" s="1"/>
    </row>
    <row r="332" spans="2:25" x14ac:dyDescent="0.35">
      <c r="B332" s="83" t="s">
        <v>1893</v>
      </c>
      <c r="K332" s="1" t="s">
        <v>1892</v>
      </c>
    </row>
    <row r="333" spans="2:25" x14ac:dyDescent="0.35">
      <c r="F333" t="s">
        <v>1885</v>
      </c>
      <c r="K333" s="1" t="s">
        <v>1884</v>
      </c>
    </row>
    <row r="334" spans="2:25" x14ac:dyDescent="0.35">
      <c r="B334" s="83" t="s">
        <v>4409</v>
      </c>
      <c r="K334" s="1"/>
    </row>
    <row r="335" spans="2:25" x14ac:dyDescent="0.35">
      <c r="F335" t="s">
        <v>4410</v>
      </c>
      <c r="K335" s="1" t="s">
        <v>4408</v>
      </c>
    </row>
    <row r="336" spans="2:25" x14ac:dyDescent="0.35">
      <c r="K336" s="1"/>
    </row>
    <row r="337" spans="2:18" x14ac:dyDescent="0.35">
      <c r="B337" s="83" t="s">
        <v>2370</v>
      </c>
      <c r="F337" t="s">
        <v>2374</v>
      </c>
      <c r="R337" s="1" t="s">
        <v>2372</v>
      </c>
    </row>
    <row r="338" spans="2:18" x14ac:dyDescent="0.35">
      <c r="F338" t="s">
        <v>2373</v>
      </c>
      <c r="R338" s="1" t="s">
        <v>2371</v>
      </c>
    </row>
    <row r="339" spans="2:18" x14ac:dyDescent="0.35">
      <c r="F339" t="s">
        <v>2376</v>
      </c>
      <c r="R339" s="1" t="s">
        <v>2375</v>
      </c>
    </row>
    <row r="340" spans="2:18" x14ac:dyDescent="0.35">
      <c r="F340" t="s">
        <v>2377</v>
      </c>
      <c r="R340" s="1" t="s">
        <v>2378</v>
      </c>
    </row>
    <row r="341" spans="2:18" x14ac:dyDescent="0.35">
      <c r="F341" t="s">
        <v>2379</v>
      </c>
      <c r="K341" s="1"/>
    </row>
    <row r="342" spans="2:18" x14ac:dyDescent="0.35">
      <c r="K342" s="1"/>
    </row>
    <row r="343" spans="2:18" x14ac:dyDescent="0.35">
      <c r="B343" s="83" t="s">
        <v>2661</v>
      </c>
      <c r="F343" s="1" t="s">
        <v>2660</v>
      </c>
      <c r="K343" s="1"/>
    </row>
    <row r="344" spans="2:18" x14ac:dyDescent="0.35">
      <c r="F344" s="1"/>
      <c r="K344" s="1"/>
    </row>
    <row r="345" spans="2:18" x14ac:dyDescent="0.35">
      <c r="B345" s="83" t="s">
        <v>2410</v>
      </c>
      <c r="F345" s="1" t="s">
        <v>2409</v>
      </c>
      <c r="R345" s="1"/>
    </row>
    <row r="346" spans="2:18" x14ac:dyDescent="0.35">
      <c r="F346" s="1"/>
      <c r="R346" s="1"/>
    </row>
    <row r="347" spans="2:18" x14ac:dyDescent="0.35">
      <c r="B347" s="83" t="s">
        <v>2407</v>
      </c>
      <c r="F347" s="205" t="s">
        <v>2396</v>
      </c>
      <c r="G347" s="205" t="s">
        <v>2395</v>
      </c>
      <c r="H347" s="205" t="s">
        <v>2394</v>
      </c>
      <c r="I347" s="205" t="s">
        <v>2397</v>
      </c>
      <c r="K347" t="s">
        <v>2398</v>
      </c>
      <c r="P347" t="s">
        <v>2408</v>
      </c>
      <c r="R347" s="1" t="s">
        <v>2393</v>
      </c>
    </row>
    <row r="348" spans="2:18" x14ac:dyDescent="0.35">
      <c r="F348">
        <v>2</v>
      </c>
      <c r="G348">
        <v>47</v>
      </c>
      <c r="H348">
        <v>2.2000000000000002</v>
      </c>
      <c r="I348" s="20">
        <f>(1/(6.28*SQRT(G348*0.000001*H348*0.000001)))</f>
        <v>15659.579172943071</v>
      </c>
    </row>
    <row r="349" spans="2:18" x14ac:dyDescent="0.35">
      <c r="F349">
        <v>35</v>
      </c>
      <c r="G349">
        <v>22</v>
      </c>
      <c r="H349">
        <v>2.2000000000000002</v>
      </c>
      <c r="I349" s="20">
        <f>(1/(6.28*SQRT(G349*0.000001*H349*0.000001)))</f>
        <v>22888.518096181084</v>
      </c>
    </row>
    <row r="350" spans="2:18" x14ac:dyDescent="0.35">
      <c r="F350">
        <f>33+10</f>
        <v>43</v>
      </c>
      <c r="G350">
        <v>1000</v>
      </c>
      <c r="H350">
        <v>2.2000000000000002</v>
      </c>
      <c r="I350" s="20">
        <f>(1/(6.28*SQRT(G350*0.000001*H350*0.000001)))</f>
        <v>3394.915865535198</v>
      </c>
    </row>
    <row r="351" spans="2:18" x14ac:dyDescent="0.35">
      <c r="K351" s="1"/>
    </row>
    <row r="352" spans="2:18" x14ac:dyDescent="0.35">
      <c r="B352" s="83" t="s">
        <v>2203</v>
      </c>
      <c r="F352" t="s">
        <v>2146</v>
      </c>
      <c r="K352" s="1" t="s">
        <v>2117</v>
      </c>
    </row>
    <row r="353" spans="2:14" x14ac:dyDescent="0.35">
      <c r="F353" t="s">
        <v>2145</v>
      </c>
      <c r="K353" s="1" t="s">
        <v>2144</v>
      </c>
    </row>
    <row r="354" spans="2:14" x14ac:dyDescent="0.35">
      <c r="K354" s="1"/>
    </row>
    <row r="355" spans="2:14" x14ac:dyDescent="0.35">
      <c r="B355" s="83" t="s">
        <v>2411</v>
      </c>
      <c r="F355" t="s">
        <v>2413</v>
      </c>
      <c r="J355" s="1"/>
      <c r="K355" s="1" t="s">
        <v>2412</v>
      </c>
    </row>
    <row r="356" spans="2:14" x14ac:dyDescent="0.35">
      <c r="F356" t="s">
        <v>2415</v>
      </c>
      <c r="J356" s="1"/>
      <c r="K356" s="1" t="s">
        <v>2414</v>
      </c>
    </row>
    <row r="357" spans="2:14" x14ac:dyDescent="0.35">
      <c r="F357" t="s">
        <v>2417</v>
      </c>
      <c r="J357" s="1"/>
      <c r="K357" s="1" t="s">
        <v>2416</v>
      </c>
    </row>
    <row r="358" spans="2:14" x14ac:dyDescent="0.35">
      <c r="J358" s="1"/>
      <c r="K358" s="1"/>
    </row>
    <row r="359" spans="2:14" x14ac:dyDescent="0.35">
      <c r="B359" s="83" t="s">
        <v>1882</v>
      </c>
      <c r="F359" t="s">
        <v>2214</v>
      </c>
      <c r="K359" s="1" t="s">
        <v>1883</v>
      </c>
    </row>
    <row r="361" spans="2:14" x14ac:dyDescent="0.35">
      <c r="B361" s="83" t="s">
        <v>1878</v>
      </c>
      <c r="F361" t="s">
        <v>1377</v>
      </c>
      <c r="K361" s="1" t="s">
        <v>1877</v>
      </c>
    </row>
    <row r="362" spans="2:14" x14ac:dyDescent="0.35">
      <c r="B362"/>
      <c r="F362" t="s">
        <v>2220</v>
      </c>
      <c r="K362" s="1" t="s">
        <v>1879</v>
      </c>
    </row>
    <row r="363" spans="2:14" x14ac:dyDescent="0.35">
      <c r="B363"/>
      <c r="K363" s="1"/>
    </row>
    <row r="364" spans="2:14" x14ac:dyDescent="0.35">
      <c r="B364" s="83" t="s">
        <v>2301</v>
      </c>
      <c r="F364" s="181" t="s">
        <v>1834</v>
      </c>
      <c r="G364" s="181" t="s">
        <v>1895</v>
      </c>
      <c r="H364" s="181" t="s">
        <v>201</v>
      </c>
      <c r="I364" s="181" t="s">
        <v>1225</v>
      </c>
      <c r="K364" s="181" t="s">
        <v>1834</v>
      </c>
      <c r="L364" s="181" t="s">
        <v>1895</v>
      </c>
      <c r="M364" s="181" t="s">
        <v>201</v>
      </c>
      <c r="N364" s="181" t="s">
        <v>1225</v>
      </c>
    </row>
    <row r="365" spans="2:14" x14ac:dyDescent="0.35">
      <c r="F365">
        <v>1</v>
      </c>
      <c r="G365" s="182">
        <v>50</v>
      </c>
      <c r="H365">
        <f>G365*F365</f>
        <v>50</v>
      </c>
      <c r="I365" s="9">
        <f>H365*$E$299</f>
        <v>6.5699999999999995E-2</v>
      </c>
      <c r="K365">
        <v>1</v>
      </c>
      <c r="L365" s="182">
        <v>20</v>
      </c>
      <c r="M365">
        <f>L365*K365</f>
        <v>20</v>
      </c>
      <c r="N365" s="9">
        <f>M365*$E$299</f>
        <v>2.6279999999999998E-2</v>
      </c>
    </row>
    <row r="366" spans="2:14" x14ac:dyDescent="0.35">
      <c r="F366">
        <v>5</v>
      </c>
      <c r="G366">
        <v>50</v>
      </c>
      <c r="H366">
        <f>G366*F366</f>
        <v>250</v>
      </c>
      <c r="I366" s="9">
        <f>H366*$E$299</f>
        <v>0.32849999999999996</v>
      </c>
      <c r="K366">
        <v>5</v>
      </c>
      <c r="L366">
        <v>20</v>
      </c>
      <c r="M366">
        <f>L366*K366</f>
        <v>100</v>
      </c>
      <c r="N366" s="9">
        <f>M366*$E$299</f>
        <v>0.13139999999999999</v>
      </c>
    </row>
    <row r="367" spans="2:14" x14ac:dyDescent="0.35">
      <c r="F367">
        <v>10</v>
      </c>
      <c r="G367">
        <v>50</v>
      </c>
      <c r="H367">
        <f>G367*F367</f>
        <v>500</v>
      </c>
      <c r="I367" s="9">
        <f>H367*$E$299</f>
        <v>0.65699999999999992</v>
      </c>
      <c r="K367">
        <v>10</v>
      </c>
      <c r="L367">
        <v>20</v>
      </c>
      <c r="M367">
        <f>L367*K367</f>
        <v>200</v>
      </c>
      <c r="N367" s="9">
        <f>M367*$E$299</f>
        <v>0.26279999999999998</v>
      </c>
    </row>
    <row r="368" spans="2:14" x14ac:dyDescent="0.35">
      <c r="G368" s="9"/>
      <c r="I368" s="1"/>
    </row>
    <row r="369" spans="1:17" x14ac:dyDescent="0.35">
      <c r="B369" s="83" t="s">
        <v>2254</v>
      </c>
      <c r="D369" s="186"/>
      <c r="F369" s="189" t="s">
        <v>2244</v>
      </c>
      <c r="G369" s="189" t="s">
        <v>2242</v>
      </c>
      <c r="H369" s="189" t="s">
        <v>2243</v>
      </c>
      <c r="I369" s="189" t="s">
        <v>2241</v>
      </c>
      <c r="J369" s="1"/>
      <c r="K369" t="s">
        <v>1836</v>
      </c>
      <c r="P369" s="189" t="s">
        <v>2283</v>
      </c>
      <c r="Q369" s="189" t="s">
        <v>2284</v>
      </c>
    </row>
    <row r="370" spans="1:17" x14ac:dyDescent="0.35">
      <c r="F370" s="12">
        <v>2.2000000000000002</v>
      </c>
      <c r="G370">
        <v>50</v>
      </c>
      <c r="H370" s="11">
        <v>1.2E-2</v>
      </c>
      <c r="I370" s="15">
        <f>(G370*0.001)*H370/(F370*0.000001)</f>
        <v>272.72727272727275</v>
      </c>
      <c r="J370" s="1"/>
      <c r="P370">
        <v>85</v>
      </c>
      <c r="Q370" s="15">
        <f t="shared" ref="Q370:Q375" si="26">P370*2.818</f>
        <v>239.53</v>
      </c>
    </row>
    <row r="371" spans="1:17" x14ac:dyDescent="0.35">
      <c r="F371" s="12">
        <v>0.47</v>
      </c>
      <c r="G371" s="15">
        <f>G370/3</f>
        <v>16.666666666666668</v>
      </c>
      <c r="H371" s="11">
        <f>H370/2</f>
        <v>6.0000000000000001E-3</v>
      </c>
      <c r="I371" s="15">
        <f>(G371*0.001)*H371/(F371*0.000001)</f>
        <v>212.76595744680859</v>
      </c>
      <c r="J371" s="1"/>
      <c r="K371" s="128" t="s">
        <v>2280</v>
      </c>
      <c r="P371">
        <v>110</v>
      </c>
      <c r="Q371" s="15">
        <f t="shared" si="26"/>
        <v>309.98</v>
      </c>
    </row>
    <row r="372" spans="1:17" x14ac:dyDescent="0.35">
      <c r="F372" s="12">
        <v>3</v>
      </c>
      <c r="G372">
        <v>20</v>
      </c>
      <c r="H372">
        <v>6.4000000000000003E-3</v>
      </c>
      <c r="I372" s="15">
        <f>(G372*0.001)*H372/(F372*0.000001)</f>
        <v>42.666666666666671</v>
      </c>
      <c r="J372" s="1"/>
      <c r="P372">
        <v>130</v>
      </c>
      <c r="Q372" s="15">
        <f t="shared" si="26"/>
        <v>366.34000000000003</v>
      </c>
    </row>
    <row r="373" spans="1:17" x14ac:dyDescent="0.35">
      <c r="F373" s="12">
        <v>2.2000000000000002</v>
      </c>
      <c r="G373">
        <v>100</v>
      </c>
      <c r="H373" s="11">
        <v>8.0000000000000002E-3</v>
      </c>
      <c r="I373" s="15">
        <f>(G373*0.001)*H373/(F373*0.000001)</f>
        <v>363.63636363636363</v>
      </c>
      <c r="J373" s="1"/>
      <c r="P373">
        <v>220</v>
      </c>
      <c r="Q373" s="15">
        <f t="shared" si="26"/>
        <v>619.96</v>
      </c>
    </row>
    <row r="374" spans="1:17" x14ac:dyDescent="0.35">
      <c r="F374" s="12">
        <v>0.22</v>
      </c>
      <c r="G374">
        <v>10</v>
      </c>
      <c r="H374" s="11">
        <v>8.0000000000000002E-3</v>
      </c>
      <c r="I374" s="15">
        <f>(G374*0.001)*H374/(F374*0.000001)</f>
        <v>363.63636363636368</v>
      </c>
      <c r="J374" s="1"/>
      <c r="P374">
        <v>240</v>
      </c>
      <c r="Q374" s="15">
        <f t="shared" si="26"/>
        <v>676.32</v>
      </c>
    </row>
    <row r="375" spans="1:17" x14ac:dyDescent="0.35">
      <c r="F375" s="12"/>
      <c r="H375" s="11"/>
      <c r="I375" s="15"/>
      <c r="J375" s="1"/>
      <c r="P375">
        <v>265</v>
      </c>
      <c r="Q375" s="15">
        <f t="shared" si="26"/>
        <v>746.77</v>
      </c>
    </row>
    <row r="376" spans="1:17" x14ac:dyDescent="0.35">
      <c r="K376" s="1"/>
    </row>
    <row r="377" spans="1:17" s="5" customFormat="1" x14ac:dyDescent="0.35">
      <c r="A377" s="86" t="s">
        <v>2202</v>
      </c>
      <c r="B377" s="84"/>
    </row>
    <row r="378" spans="1:17" x14ac:dyDescent="0.35">
      <c r="O378" s="1"/>
    </row>
    <row r="379" spans="1:17" x14ac:dyDescent="0.35">
      <c r="B379" s="83" t="s">
        <v>2215</v>
      </c>
      <c r="C379" t="s">
        <v>245</v>
      </c>
    </row>
    <row r="380" spans="1:17" x14ac:dyDescent="0.35">
      <c r="D380" t="s">
        <v>246</v>
      </c>
      <c r="K380" s="1" t="s">
        <v>247</v>
      </c>
    </row>
    <row r="381" spans="1:17" x14ac:dyDescent="0.35">
      <c r="D381" t="s">
        <v>248</v>
      </c>
    </row>
    <row r="383" spans="1:17" x14ac:dyDescent="0.35">
      <c r="C383" t="s">
        <v>249</v>
      </c>
    </row>
    <row r="384" spans="1:17" x14ac:dyDescent="0.35">
      <c r="K384" s="1" t="s">
        <v>250</v>
      </c>
    </row>
    <row r="385" spans="1:16" x14ac:dyDescent="0.35">
      <c r="O385" s="1"/>
    </row>
    <row r="386" spans="1:16" x14ac:dyDescent="0.35">
      <c r="C386" t="s">
        <v>1881</v>
      </c>
      <c r="K386" s="1" t="s">
        <v>1880</v>
      </c>
    </row>
    <row r="387" spans="1:16" x14ac:dyDescent="0.35">
      <c r="H387" s="1"/>
    </row>
    <row r="388" spans="1:16" x14ac:dyDescent="0.35">
      <c r="C388" t="s">
        <v>1824</v>
      </c>
    </row>
    <row r="389" spans="1:16" x14ac:dyDescent="0.35">
      <c r="H389" t="s">
        <v>1819</v>
      </c>
      <c r="K389" s="1" t="s">
        <v>252</v>
      </c>
    </row>
    <row r="390" spans="1:16" x14ac:dyDescent="0.35">
      <c r="H390" t="s">
        <v>1820</v>
      </c>
      <c r="K390" s="1" t="s">
        <v>1818</v>
      </c>
    </row>
    <row r="391" spans="1:16" x14ac:dyDescent="0.35">
      <c r="H391" t="s">
        <v>1821</v>
      </c>
      <c r="K391" s="1" t="s">
        <v>1822</v>
      </c>
    </row>
    <row r="393" spans="1:16" s="5" customFormat="1" x14ac:dyDescent="0.35">
      <c r="A393" s="86" t="s">
        <v>2209</v>
      </c>
      <c r="B393" s="84"/>
    </row>
    <row r="395" spans="1:16" x14ac:dyDescent="0.35">
      <c r="B395" s="83" t="s">
        <v>2079</v>
      </c>
    </row>
    <row r="396" spans="1:16" x14ac:dyDescent="0.35">
      <c r="D396" t="s">
        <v>2084</v>
      </c>
      <c r="K396" s="73" t="s">
        <v>1819</v>
      </c>
      <c r="L396" s="1" t="s">
        <v>2077</v>
      </c>
      <c r="M396" t="s">
        <v>0</v>
      </c>
      <c r="O396" s="73" t="s">
        <v>1995</v>
      </c>
      <c r="P396" s="1" t="s">
        <v>2078</v>
      </c>
    </row>
    <row r="397" spans="1:16" x14ac:dyDescent="0.35">
      <c r="B397" s="83" t="s">
        <v>0</v>
      </c>
    </row>
    <row r="398" spans="1:16" x14ac:dyDescent="0.35">
      <c r="D398" s="95" t="s">
        <v>1954</v>
      </c>
      <c r="K398" s="1"/>
      <c r="P398" s="1" t="s">
        <v>2148</v>
      </c>
    </row>
    <row r="399" spans="1:16" x14ac:dyDescent="0.35">
      <c r="D399" s="95"/>
      <c r="P399" s="1"/>
    </row>
    <row r="400" spans="1:16" x14ac:dyDescent="0.35">
      <c r="D400" s="95" t="s">
        <v>2075</v>
      </c>
      <c r="F400" t="s">
        <v>2082</v>
      </c>
      <c r="M400" s="1" t="s">
        <v>2074</v>
      </c>
    </row>
    <row r="401" spans="2:16" x14ac:dyDescent="0.35">
      <c r="D401" s="83"/>
      <c r="F401" s="186">
        <v>0.38</v>
      </c>
      <c r="G401" t="s">
        <v>2083</v>
      </c>
      <c r="M401" s="1" t="s">
        <v>2073</v>
      </c>
      <c r="N401" s="1"/>
      <c r="P401" s="1"/>
    </row>
    <row r="402" spans="2:16" x14ac:dyDescent="0.35">
      <c r="D402" s="83"/>
      <c r="F402" s="186">
        <v>0.25</v>
      </c>
      <c r="G402" t="s">
        <v>2081</v>
      </c>
      <c r="M402" s="1" t="s">
        <v>2080</v>
      </c>
    </row>
    <row r="403" spans="2:16" x14ac:dyDescent="0.35">
      <c r="D403" s="186"/>
      <c r="K403" s="1"/>
    </row>
    <row r="404" spans="2:16" x14ac:dyDescent="0.35">
      <c r="B404" s="83" t="s">
        <v>2085</v>
      </c>
      <c r="D404" s="186"/>
      <c r="M404" s="1"/>
    </row>
    <row r="405" spans="2:16" x14ac:dyDescent="0.35">
      <c r="D405" s="186" t="s">
        <v>2210</v>
      </c>
      <c r="M405" s="128" t="s">
        <v>1995</v>
      </c>
      <c r="N405" s="1" t="s">
        <v>2086</v>
      </c>
      <c r="O405" t="s">
        <v>0</v>
      </c>
    </row>
    <row r="406" spans="2:16" x14ac:dyDescent="0.35">
      <c r="D406" s="186" t="s">
        <v>2087</v>
      </c>
      <c r="M406" s="128" t="s">
        <v>2089</v>
      </c>
      <c r="N406" s="1" t="s">
        <v>2088</v>
      </c>
      <c r="O406" t="s">
        <v>0</v>
      </c>
    </row>
    <row r="407" spans="2:16" x14ac:dyDescent="0.35">
      <c r="D407" s="186"/>
      <c r="K407" s="1"/>
    </row>
    <row r="408" spans="2:16" x14ac:dyDescent="0.35">
      <c r="B408" s="83" t="s">
        <v>2216</v>
      </c>
      <c r="D408" t="s">
        <v>1828</v>
      </c>
      <c r="M408" s="1" t="s">
        <v>1825</v>
      </c>
      <c r="N408" t="s">
        <v>0</v>
      </c>
    </row>
    <row r="409" spans="2:16" x14ac:dyDescent="0.35">
      <c r="D409" t="s">
        <v>251</v>
      </c>
    </row>
    <row r="410" spans="2:16" x14ac:dyDescent="0.35">
      <c r="D410" t="s">
        <v>1949</v>
      </c>
      <c r="M410" s="1" t="s">
        <v>1948</v>
      </c>
      <c r="N410" t="s">
        <v>0</v>
      </c>
    </row>
    <row r="411" spans="2:16" x14ac:dyDescent="0.35">
      <c r="D411" t="s">
        <v>1887</v>
      </c>
      <c r="M411" s="1" t="s">
        <v>1886</v>
      </c>
      <c r="N411" t="s">
        <v>0</v>
      </c>
    </row>
    <row r="412" spans="2:16" x14ac:dyDescent="0.35">
      <c r="D412" s="186"/>
      <c r="K412" s="1"/>
    </row>
    <row r="413" spans="2:16" x14ac:dyDescent="0.35">
      <c r="B413" s="83" t="s">
        <v>2222</v>
      </c>
      <c r="D413" s="186"/>
      <c r="K413" s="1"/>
    </row>
    <row r="414" spans="2:16" x14ac:dyDescent="0.35">
      <c r="D414" s="1" t="s">
        <v>2221</v>
      </c>
      <c r="J414" s="15">
        <f>110*1.414</f>
        <v>155.54</v>
      </c>
      <c r="K414" s="1"/>
      <c r="O414" s="1"/>
    </row>
    <row r="415" spans="2:16" x14ac:dyDescent="0.35">
      <c r="D415" s="186"/>
      <c r="J415" s="15">
        <f>J414*2</f>
        <v>311.08</v>
      </c>
      <c r="K415" s="1"/>
      <c r="O415" s="1"/>
    </row>
    <row r="416" spans="2:16" x14ac:dyDescent="0.35">
      <c r="B416" s="83" t="s">
        <v>4409</v>
      </c>
      <c r="M416" s="1"/>
    </row>
    <row r="417" spans="2:26" x14ac:dyDescent="0.35">
      <c r="D417" t="s">
        <v>4410</v>
      </c>
      <c r="M417" s="1" t="s">
        <v>4408</v>
      </c>
    </row>
    <row r="418" spans="2:26" x14ac:dyDescent="0.35">
      <c r="D418" s="186"/>
      <c r="J418" s="15"/>
      <c r="K418" s="1"/>
      <c r="O418" s="1"/>
    </row>
    <row r="419" spans="2:26" x14ac:dyDescent="0.35">
      <c r="B419" s="83" t="s">
        <v>2390</v>
      </c>
      <c r="K419" s="1"/>
    </row>
    <row r="420" spans="2:26" x14ac:dyDescent="0.35">
      <c r="D420" s="201" t="s">
        <v>1819</v>
      </c>
      <c r="E420" s="1" t="s">
        <v>2339</v>
      </c>
      <c r="F420" t="s">
        <v>0</v>
      </c>
      <c r="G420" s="201" t="s">
        <v>1995</v>
      </c>
      <c r="H420" s="1" t="s">
        <v>2086</v>
      </c>
      <c r="I420" t="s">
        <v>0</v>
      </c>
      <c r="L420" s="201" t="s">
        <v>2384</v>
      </c>
      <c r="M420" s="1" t="s">
        <v>2088</v>
      </c>
      <c r="N420" t="s">
        <v>0</v>
      </c>
    </row>
    <row r="421" spans="2:26" x14ac:dyDescent="0.35">
      <c r="D421" t="s">
        <v>2385</v>
      </c>
      <c r="E421" s="201"/>
      <c r="F421" s="1"/>
      <c r="I421" s="201"/>
      <c r="L421" s="1"/>
    </row>
    <row r="422" spans="2:26" x14ac:dyDescent="0.35">
      <c r="D422" t="s">
        <v>2388</v>
      </c>
      <c r="M422" s="1" t="s">
        <v>2386</v>
      </c>
      <c r="N422" t="s">
        <v>0</v>
      </c>
    </row>
    <row r="423" spans="2:26" x14ac:dyDescent="0.35">
      <c r="D423" t="s">
        <v>2389</v>
      </c>
      <c r="M423" s="1" t="s">
        <v>2387</v>
      </c>
      <c r="N423" t="s">
        <v>0</v>
      </c>
    </row>
    <row r="424" spans="2:26" x14ac:dyDescent="0.35">
      <c r="M424" s="1"/>
    </row>
    <row r="425" spans="2:26" x14ac:dyDescent="0.35">
      <c r="B425" s="83" t="s">
        <v>2442</v>
      </c>
      <c r="D425" s="186" t="s">
        <v>2450</v>
      </c>
      <c r="M425" s="1"/>
    </row>
    <row r="426" spans="2:26" x14ac:dyDescent="0.35">
      <c r="D426" s="186" t="s">
        <v>2451</v>
      </c>
      <c r="M426" s="1"/>
    </row>
    <row r="427" spans="2:26" x14ac:dyDescent="0.35">
      <c r="M427" s="1"/>
    </row>
    <row r="428" spans="2:26" x14ac:dyDescent="0.35">
      <c r="B428" s="83" t="s">
        <v>1909</v>
      </c>
      <c r="F428" s="13"/>
      <c r="I428" s="15"/>
      <c r="J428" s="15"/>
      <c r="K428" s="13"/>
    </row>
    <row r="429" spans="2:26" x14ac:dyDescent="0.35">
      <c r="D429" t="s">
        <v>2299</v>
      </c>
      <c r="F429" t="s">
        <v>2300</v>
      </c>
      <c r="G429" s="201" t="s">
        <v>1819</v>
      </c>
      <c r="H429" s="1" t="s">
        <v>2298</v>
      </c>
      <c r="I429" s="15" t="s">
        <v>0</v>
      </c>
      <c r="J429" s="15"/>
      <c r="K429" s="201" t="s">
        <v>2305</v>
      </c>
      <c r="L429" s="1" t="s">
        <v>2303</v>
      </c>
      <c r="M429" t="s">
        <v>0</v>
      </c>
      <c r="N429" s="201" t="s">
        <v>2306</v>
      </c>
      <c r="O429" s="1" t="s">
        <v>2304</v>
      </c>
      <c r="P429" t="s">
        <v>0</v>
      </c>
      <c r="Q429" t="s">
        <v>2343</v>
      </c>
      <c r="V429" t="s">
        <v>2383</v>
      </c>
      <c r="X429" s="186">
        <v>0.44</v>
      </c>
    </row>
    <row r="430" spans="2:26" x14ac:dyDescent="0.35">
      <c r="D430" s="186"/>
      <c r="F430" t="s">
        <v>2340</v>
      </c>
      <c r="G430" s="201" t="s">
        <v>1819</v>
      </c>
      <c r="H430" s="1" t="s">
        <v>2339</v>
      </c>
      <c r="I430" t="s">
        <v>0</v>
      </c>
      <c r="K430" s="201" t="s">
        <v>1995</v>
      </c>
      <c r="L430" s="1" t="s">
        <v>2086</v>
      </c>
      <c r="M430" t="s">
        <v>0</v>
      </c>
      <c r="N430" s="201" t="s">
        <v>2384</v>
      </c>
      <c r="O430" s="1" t="s">
        <v>2088</v>
      </c>
      <c r="P430" t="s">
        <v>0</v>
      </c>
      <c r="Q430" t="s">
        <v>2342</v>
      </c>
      <c r="V430" t="s">
        <v>2392</v>
      </c>
      <c r="X430" s="186">
        <v>0.65</v>
      </c>
      <c r="Z430" t="s">
        <v>2391</v>
      </c>
    </row>
    <row r="431" spans="2:26" x14ac:dyDescent="0.35">
      <c r="D431" s="186"/>
      <c r="F431" t="s">
        <v>2441</v>
      </c>
      <c r="G431" s="201" t="s">
        <v>1819</v>
      </c>
      <c r="H431" s="1" t="s">
        <v>2440</v>
      </c>
      <c r="I431" t="s">
        <v>0</v>
      </c>
      <c r="K431" s="201" t="s">
        <v>1995</v>
      </c>
      <c r="L431" s="1" t="s">
        <v>2443</v>
      </c>
      <c r="M431" t="s">
        <v>0</v>
      </c>
      <c r="N431" s="201" t="s">
        <v>2384</v>
      </c>
      <c r="O431" s="1" t="s">
        <v>2444</v>
      </c>
      <c r="P431" t="s">
        <v>0</v>
      </c>
      <c r="Q431" t="s">
        <v>2445</v>
      </c>
      <c r="V431" t="s">
        <v>2383</v>
      </c>
      <c r="X431" s="186">
        <v>0.36</v>
      </c>
    </row>
    <row r="432" spans="2:26" x14ac:dyDescent="0.35">
      <c r="D432" s="186"/>
      <c r="G432" s="201"/>
      <c r="H432" s="1"/>
      <c r="K432" s="201"/>
      <c r="L432" s="1"/>
      <c r="P432" t="s">
        <v>0</v>
      </c>
      <c r="W432" s="186"/>
    </row>
    <row r="433" spans="4:23" x14ac:dyDescent="0.35">
      <c r="D433" s="186"/>
      <c r="G433" s="201"/>
      <c r="H433" s="1"/>
      <c r="K433" s="201"/>
      <c r="L433" s="1"/>
      <c r="N433" s="201"/>
      <c r="O433" s="1"/>
      <c r="W433" s="186"/>
    </row>
    <row r="434" spans="4:23" x14ac:dyDescent="0.35">
      <c r="D434" s="186"/>
      <c r="G434" s="201"/>
      <c r="H434" s="1"/>
      <c r="K434" s="201"/>
      <c r="L434" s="1"/>
      <c r="N434" s="201"/>
      <c r="O434" s="1"/>
      <c r="W434" s="186"/>
    </row>
    <row r="435" spans="4:23" x14ac:dyDescent="0.35">
      <c r="D435" s="186"/>
      <c r="G435" s="201"/>
      <c r="H435" s="1"/>
      <c r="K435" s="201"/>
      <c r="L435" s="1"/>
      <c r="N435" s="201"/>
      <c r="O435" s="1"/>
      <c r="W435" s="186"/>
    </row>
    <row r="436" spans="4:23" x14ac:dyDescent="0.35">
      <c r="D436" s="186"/>
      <c r="G436" s="201"/>
      <c r="H436" s="1"/>
      <c r="K436" s="201"/>
      <c r="L436" s="1"/>
      <c r="N436" s="201"/>
      <c r="O436" s="1"/>
      <c r="W436" s="186"/>
    </row>
    <row r="437" spans="4:23" x14ac:dyDescent="0.35">
      <c r="D437" s="186"/>
      <c r="G437" s="201"/>
      <c r="H437" s="1"/>
      <c r="K437" s="201"/>
      <c r="L437" s="1"/>
      <c r="N437" s="201"/>
      <c r="O437" s="1"/>
      <c r="W437" s="186"/>
    </row>
    <row r="438" spans="4:23" x14ac:dyDescent="0.35">
      <c r="D438" s="186"/>
      <c r="G438" s="201"/>
      <c r="H438" s="1"/>
      <c r="K438" s="201"/>
      <c r="L438" s="1"/>
      <c r="N438" s="201"/>
      <c r="O438" s="1"/>
      <c r="W438" s="186"/>
    </row>
    <row r="439" spans="4:23" x14ac:dyDescent="0.35">
      <c r="D439" s="186"/>
      <c r="G439" s="201"/>
      <c r="H439" s="1"/>
      <c r="K439" s="201"/>
      <c r="L439" s="1"/>
      <c r="N439" s="201"/>
      <c r="O439" s="1"/>
      <c r="W439" s="186"/>
    </row>
    <row r="440" spans="4:23" x14ac:dyDescent="0.35">
      <c r="D440" s="186"/>
      <c r="G440" s="201"/>
      <c r="H440" s="1"/>
      <c r="K440" s="201"/>
      <c r="L440" s="1"/>
      <c r="N440" s="201"/>
      <c r="O440" s="1"/>
      <c r="W440" s="186"/>
    </row>
    <row r="441" spans="4:23" x14ac:dyDescent="0.35">
      <c r="D441" s="186"/>
      <c r="G441" s="201"/>
      <c r="H441" s="1"/>
      <c r="K441" s="201"/>
      <c r="L441" s="1"/>
      <c r="N441" s="201"/>
      <c r="O441" s="1"/>
      <c r="W441" s="186"/>
    </row>
    <row r="442" spans="4:23" x14ac:dyDescent="0.35">
      <c r="D442" s="186"/>
      <c r="G442" s="201"/>
      <c r="H442" s="1"/>
      <c r="K442" s="201"/>
      <c r="L442" s="1"/>
      <c r="N442" s="201"/>
      <c r="O442" s="1"/>
      <c r="W442" s="186"/>
    </row>
    <row r="443" spans="4:23" x14ac:dyDescent="0.35">
      <c r="D443" s="186"/>
      <c r="G443" s="201"/>
      <c r="H443" s="1"/>
      <c r="K443" s="201"/>
      <c r="L443" s="1"/>
      <c r="N443" s="201"/>
      <c r="O443" s="1"/>
      <c r="W443" s="186"/>
    </row>
    <row r="444" spans="4:23" x14ac:dyDescent="0.35">
      <c r="D444" s="186"/>
      <c r="G444" s="201"/>
      <c r="H444" s="1"/>
      <c r="K444" s="201"/>
      <c r="L444" s="1"/>
      <c r="N444" s="201"/>
      <c r="O444" s="1"/>
      <c r="W444" s="186"/>
    </row>
    <row r="445" spans="4:23" x14ac:dyDescent="0.35">
      <c r="D445" s="186"/>
      <c r="G445" s="201"/>
      <c r="H445" s="1"/>
      <c r="K445" s="201"/>
      <c r="L445" s="1"/>
      <c r="N445" s="201"/>
      <c r="O445" s="1"/>
      <c r="W445" s="186"/>
    </row>
    <row r="446" spans="4:23" x14ac:dyDescent="0.35">
      <c r="D446" s="186"/>
      <c r="G446" s="201"/>
      <c r="H446" s="1"/>
      <c r="K446" s="201"/>
      <c r="L446" s="1"/>
      <c r="N446" s="201"/>
      <c r="O446" s="1"/>
      <c r="W446" s="186"/>
    </row>
    <row r="447" spans="4:23" x14ac:dyDescent="0.35">
      <c r="D447" s="186"/>
      <c r="G447" s="201"/>
      <c r="H447" s="1"/>
      <c r="K447" s="201"/>
      <c r="L447" s="1"/>
      <c r="N447" s="201"/>
      <c r="O447" s="1"/>
      <c r="W447" s="186"/>
    </row>
    <row r="448" spans="4:23" x14ac:dyDescent="0.35">
      <c r="D448" s="186"/>
      <c r="G448" s="201"/>
      <c r="H448" s="1"/>
      <c r="K448" s="201"/>
      <c r="L448" s="1"/>
      <c r="N448" s="201"/>
      <c r="O448" s="1"/>
      <c r="W448" s="186"/>
    </row>
    <row r="449" spans="1:23" x14ac:dyDescent="0.35">
      <c r="D449" s="186"/>
      <c r="G449" s="201"/>
      <c r="H449" s="1"/>
      <c r="K449" s="201"/>
      <c r="L449" s="1"/>
      <c r="N449" s="201"/>
      <c r="O449" s="1"/>
      <c r="W449" s="186"/>
    </row>
    <row r="450" spans="1:23" x14ac:dyDescent="0.35">
      <c r="M450" s="1"/>
    </row>
    <row r="451" spans="1:23" x14ac:dyDescent="0.35">
      <c r="K451" s="1"/>
      <c r="M451" s="1"/>
    </row>
    <row r="452" spans="1:23" s="5" customFormat="1" x14ac:dyDescent="0.35">
      <c r="A452" s="86" t="s">
        <v>2211</v>
      </c>
      <c r="B452" s="84"/>
    </row>
    <row r="453" spans="1:23" x14ac:dyDescent="0.35">
      <c r="I453" s="1"/>
    </row>
    <row r="454" spans="1:23" x14ac:dyDescent="0.35">
      <c r="B454" s="83" t="s">
        <v>2207</v>
      </c>
      <c r="D454" t="s">
        <v>1896</v>
      </c>
      <c r="I454" s="1"/>
      <c r="K454" s="1" t="s">
        <v>1894</v>
      </c>
    </row>
    <row r="455" spans="1:23" x14ac:dyDescent="0.35">
      <c r="B455" s="83" t="s">
        <v>0</v>
      </c>
      <c r="D455" t="s">
        <v>1899</v>
      </c>
      <c r="I455" s="1"/>
      <c r="K455" s="1" t="s">
        <v>1892</v>
      </c>
    </row>
    <row r="456" spans="1:23" x14ac:dyDescent="0.35">
      <c r="B456" s="83" t="s">
        <v>0</v>
      </c>
      <c r="D456" t="s">
        <v>1901</v>
      </c>
      <c r="I456" s="1"/>
      <c r="K456" s="1" t="s">
        <v>1900</v>
      </c>
    </row>
    <row r="457" spans="1:23" x14ac:dyDescent="0.35">
      <c r="D457" t="s">
        <v>1903</v>
      </c>
      <c r="G457" s="1"/>
      <c r="I457" s="1"/>
      <c r="K457" s="1" t="s">
        <v>1902</v>
      </c>
    </row>
    <row r="458" spans="1:23" x14ac:dyDescent="0.35">
      <c r="D458" t="s">
        <v>2068</v>
      </c>
      <c r="G458" s="1"/>
      <c r="I458" s="1"/>
      <c r="K458" s="1" t="s">
        <v>2067</v>
      </c>
    </row>
    <row r="459" spans="1:23" x14ac:dyDescent="0.35">
      <c r="G459" s="1"/>
      <c r="I459" s="1"/>
      <c r="K459" s="1"/>
    </row>
    <row r="460" spans="1:23" x14ac:dyDescent="0.35">
      <c r="B460" s="83" t="s">
        <v>2208</v>
      </c>
      <c r="D460" t="s">
        <v>1904</v>
      </c>
      <c r="I460" s="1"/>
    </row>
    <row r="461" spans="1:23" x14ac:dyDescent="0.35">
      <c r="B461" s="83" t="s">
        <v>0</v>
      </c>
      <c r="D461" t="s">
        <v>1906</v>
      </c>
      <c r="K461" s="1" t="s">
        <v>1905</v>
      </c>
    </row>
    <row r="462" spans="1:23" x14ac:dyDescent="0.35">
      <c r="E462" t="s">
        <v>1907</v>
      </c>
      <c r="I462" s="1"/>
      <c r="K462" s="1" t="s">
        <v>1905</v>
      </c>
    </row>
    <row r="463" spans="1:23" x14ac:dyDescent="0.35">
      <c r="E463" t="s">
        <v>1908</v>
      </c>
      <c r="K463" s="1" t="s">
        <v>1905</v>
      </c>
    </row>
    <row r="464" spans="1:23" x14ac:dyDescent="0.35">
      <c r="E464" t="s">
        <v>2090</v>
      </c>
      <c r="K464" s="1" t="s">
        <v>1890</v>
      </c>
    </row>
    <row r="465" spans="2:16" x14ac:dyDescent="0.35">
      <c r="P465" s="1"/>
    </row>
    <row r="466" spans="2:16" x14ac:dyDescent="0.35">
      <c r="B466" s="83" t="s">
        <v>2216</v>
      </c>
      <c r="D466" t="s">
        <v>2217</v>
      </c>
      <c r="P466" s="1" t="s">
        <v>1888</v>
      </c>
    </row>
    <row r="467" spans="2:16" x14ac:dyDescent="0.35">
      <c r="D467" t="s">
        <v>2218</v>
      </c>
      <c r="P467" s="1" t="s">
        <v>1947</v>
      </c>
    </row>
    <row r="469" spans="2:16" x14ac:dyDescent="0.35">
      <c r="B469" s="83" t="s">
        <v>2206</v>
      </c>
    </row>
    <row r="470" spans="2:16" x14ac:dyDescent="0.35">
      <c r="L470" t="s">
        <v>1981</v>
      </c>
    </row>
    <row r="471" spans="2:16" x14ac:dyDescent="0.35">
      <c r="D471" t="s">
        <v>2007</v>
      </c>
      <c r="E471" s="184" t="s">
        <v>2006</v>
      </c>
      <c r="F471" s="184" t="s">
        <v>406</v>
      </c>
      <c r="G471" s="184" t="s">
        <v>2008</v>
      </c>
      <c r="H471" s="184" t="s">
        <v>2010</v>
      </c>
      <c r="I471" s="184" t="s">
        <v>2009</v>
      </c>
      <c r="J471" s="184" t="s">
        <v>2011</v>
      </c>
      <c r="L471" s="1" t="s">
        <v>1889</v>
      </c>
    </row>
    <row r="472" spans="2:16" x14ac:dyDescent="0.35">
      <c r="E472">
        <v>1</v>
      </c>
      <c r="F472" s="53">
        <v>7.0000000000000007E-2</v>
      </c>
      <c r="G472" s="15">
        <f>E472*5</f>
        <v>5</v>
      </c>
      <c r="H472" s="15">
        <f>G472/F472</f>
        <v>71.428571428571416</v>
      </c>
      <c r="I472" s="12">
        <f>H472/50</f>
        <v>1.4285714285714284</v>
      </c>
      <c r="J472" s="9">
        <f>$E$299*H472</f>
        <v>9.3857142857142833E-2</v>
      </c>
      <c r="L472" s="1"/>
    </row>
    <row r="473" spans="2:16" x14ac:dyDescent="0.35">
      <c r="E473">
        <v>2</v>
      </c>
      <c r="F473" s="53">
        <v>0.15</v>
      </c>
      <c r="G473" s="15">
        <f>E473*5</f>
        <v>10</v>
      </c>
      <c r="H473" s="15">
        <f>G473/F473</f>
        <v>66.666666666666671</v>
      </c>
      <c r="I473" s="12">
        <f>H473/50</f>
        <v>1.3333333333333335</v>
      </c>
      <c r="J473" s="9">
        <f>$E$299*H473</f>
        <v>8.7599999999999997E-2</v>
      </c>
      <c r="K473" s="1"/>
    </row>
    <row r="474" spans="2:16" x14ac:dyDescent="0.35">
      <c r="E474">
        <v>5</v>
      </c>
      <c r="F474" s="53">
        <v>0.3</v>
      </c>
      <c r="G474" s="15">
        <f>E474*5</f>
        <v>25</v>
      </c>
      <c r="H474" s="15">
        <f>G474/F474</f>
        <v>83.333333333333343</v>
      </c>
      <c r="I474" s="12">
        <f>H474/50</f>
        <v>1.666666666666667</v>
      </c>
      <c r="J474" s="9">
        <f>$E$299*H474</f>
        <v>0.1095</v>
      </c>
      <c r="K474" s="1"/>
    </row>
    <row r="475" spans="2:16" x14ac:dyDescent="0.35">
      <c r="E475">
        <v>10</v>
      </c>
      <c r="F475" s="53">
        <v>0.4</v>
      </c>
      <c r="G475" s="15">
        <f>E475*5</f>
        <v>50</v>
      </c>
      <c r="H475" s="15">
        <f>G475/F475</f>
        <v>125</v>
      </c>
      <c r="I475" s="12">
        <f>H475/50</f>
        <v>2.5</v>
      </c>
      <c r="J475" s="9">
        <f>$E$299*H475</f>
        <v>0.16424999999999998</v>
      </c>
      <c r="K475" s="1"/>
    </row>
    <row r="476" spans="2:16" x14ac:dyDescent="0.35">
      <c r="K476" s="1"/>
    </row>
    <row r="477" spans="2:16" x14ac:dyDescent="0.35">
      <c r="B477" s="83" t="s">
        <v>2381</v>
      </c>
    </row>
    <row r="478" spans="2:16" x14ac:dyDescent="0.35">
      <c r="D478" t="s">
        <v>2382</v>
      </c>
      <c r="I478" s="143" t="s">
        <v>1819</v>
      </c>
      <c r="J478" s="1" t="s">
        <v>2380</v>
      </c>
      <c r="L478" t="s">
        <v>0</v>
      </c>
    </row>
    <row r="479" spans="2:16" x14ac:dyDescent="0.35">
      <c r="L479" s="1"/>
      <c r="M479" s="1"/>
    </row>
    <row r="480" spans="2:16" x14ac:dyDescent="0.35">
      <c r="B480" s="83" t="s">
        <v>2205</v>
      </c>
      <c r="K480" s="1"/>
    </row>
    <row r="481" spans="1:22" x14ac:dyDescent="0.35">
      <c r="D481" t="s">
        <v>1891</v>
      </c>
    </row>
    <row r="482" spans="1:22" x14ac:dyDescent="0.35">
      <c r="B482" s="83" t="s">
        <v>0</v>
      </c>
      <c r="D482" t="s">
        <v>2091</v>
      </c>
      <c r="K482" s="1" t="s">
        <v>1890</v>
      </c>
    </row>
    <row r="483" spans="1:22" x14ac:dyDescent="0.35">
      <c r="D483" t="s">
        <v>2092</v>
      </c>
      <c r="K483" s="1"/>
    </row>
    <row r="484" spans="1:22" x14ac:dyDescent="0.35">
      <c r="D484" t="s">
        <v>2093</v>
      </c>
      <c r="K484" s="1"/>
    </row>
    <row r="485" spans="1:22" x14ac:dyDescent="0.35">
      <c r="K485" s="1"/>
    </row>
    <row r="486" spans="1:22" x14ac:dyDescent="0.35">
      <c r="K486" s="1"/>
    </row>
    <row r="487" spans="1:22" x14ac:dyDescent="0.35">
      <c r="K487" s="1"/>
    </row>
    <row r="488" spans="1:22" s="5" customFormat="1" x14ac:dyDescent="0.35">
      <c r="A488" s="86" t="s">
        <v>5122</v>
      </c>
      <c r="B488" s="84"/>
    </row>
    <row r="489" spans="1:22" x14ac:dyDescent="0.35">
      <c r="D489" s="170"/>
      <c r="L489" s="1"/>
      <c r="N489" s="1"/>
      <c r="O489" s="73"/>
      <c r="P489" s="1"/>
    </row>
    <row r="490" spans="1:22" x14ac:dyDescent="0.35">
      <c r="B490" s="83" t="s">
        <v>5121</v>
      </c>
      <c r="D490" s="170"/>
      <c r="E490" t="s">
        <v>5133</v>
      </c>
    </row>
    <row r="491" spans="1:22" x14ac:dyDescent="0.35">
      <c r="D491" s="170"/>
      <c r="E491" t="s">
        <v>5135</v>
      </c>
    </row>
    <row r="492" spans="1:22" x14ac:dyDescent="0.35">
      <c r="E492" t="s">
        <v>5134</v>
      </c>
      <c r="J492" t="s">
        <v>4375</v>
      </c>
    </row>
    <row r="493" spans="1:22" x14ac:dyDescent="0.35">
      <c r="D493" s="170"/>
      <c r="L493" s="1"/>
      <c r="N493" s="1"/>
      <c r="O493" s="73"/>
      <c r="P493" s="1"/>
    </row>
    <row r="494" spans="1:22" x14ac:dyDescent="0.35">
      <c r="B494" s="83" t="s">
        <v>5130</v>
      </c>
      <c r="D494" s="170"/>
      <c r="E494" t="s">
        <v>4376</v>
      </c>
      <c r="L494" s="1"/>
      <c r="N494" s="1"/>
      <c r="O494" s="73"/>
      <c r="P494" s="1" t="s">
        <v>4377</v>
      </c>
      <c r="U494" s="14" t="s">
        <v>4378</v>
      </c>
      <c r="V494" s="1" t="s">
        <v>4379</v>
      </c>
    </row>
    <row r="495" spans="1:22" x14ac:dyDescent="0.35">
      <c r="F495" t="s">
        <v>4380</v>
      </c>
      <c r="L495" s="1"/>
      <c r="N495" s="1"/>
      <c r="O495" s="73"/>
      <c r="P495" s="1"/>
    </row>
    <row r="496" spans="1:22" x14ac:dyDescent="0.35">
      <c r="D496" s="170"/>
      <c r="E496" t="s">
        <v>4387</v>
      </c>
      <c r="L496" s="1"/>
      <c r="N496" s="1"/>
      <c r="O496" s="73"/>
      <c r="P496" s="1" t="s">
        <v>4386</v>
      </c>
    </row>
    <row r="497" spans="2:19" x14ac:dyDescent="0.35">
      <c r="D497" s="170"/>
      <c r="E497" t="s">
        <v>4413</v>
      </c>
      <c r="L497" s="1"/>
      <c r="N497" s="1"/>
      <c r="O497" s="73"/>
      <c r="P497" s="1" t="s">
        <v>4388</v>
      </c>
    </row>
    <row r="498" spans="2:19" x14ac:dyDescent="0.35">
      <c r="D498" s="170"/>
      <c r="E498" t="s">
        <v>5123</v>
      </c>
      <c r="L498" s="1"/>
      <c r="N498" s="1"/>
      <c r="O498" s="73"/>
      <c r="P498" s="1"/>
    </row>
    <row r="499" spans="2:19" x14ac:dyDescent="0.35">
      <c r="D499" s="170"/>
      <c r="L499" s="1"/>
      <c r="N499" s="1"/>
      <c r="O499" s="73"/>
      <c r="P499" s="1"/>
    </row>
    <row r="500" spans="2:19" x14ac:dyDescent="0.35">
      <c r="B500" s="83" t="s">
        <v>4411</v>
      </c>
      <c r="D500" s="170"/>
      <c r="L500" s="1"/>
      <c r="N500" s="1"/>
      <c r="O500" s="73"/>
      <c r="P500" s="1"/>
    </row>
    <row r="501" spans="2:19" x14ac:dyDescent="0.35">
      <c r="D501" s="170"/>
      <c r="E501" t="s">
        <v>4389</v>
      </c>
      <c r="L501" s="1"/>
      <c r="N501" s="1"/>
      <c r="O501" s="73"/>
      <c r="P501" s="1" t="s">
        <v>4394</v>
      </c>
    </row>
    <row r="502" spans="2:19" x14ac:dyDescent="0.35">
      <c r="D502" s="170"/>
      <c r="F502" t="s">
        <v>4407</v>
      </c>
      <c r="L502" s="1"/>
      <c r="N502" s="1"/>
      <c r="O502" s="73"/>
      <c r="P502" s="1"/>
    </row>
    <row r="503" spans="2:19" x14ac:dyDescent="0.35">
      <c r="D503" s="170"/>
      <c r="F503" s="170" t="s">
        <v>4398</v>
      </c>
      <c r="K503" s="73" t="s">
        <v>4390</v>
      </c>
      <c r="L503" s="1" t="s">
        <v>4391</v>
      </c>
      <c r="M503" s="1" t="s">
        <v>0</v>
      </c>
      <c r="N503" s="73" t="s">
        <v>4392</v>
      </c>
      <c r="O503" s="1" t="s">
        <v>4393</v>
      </c>
      <c r="P503" s="73" t="s">
        <v>0</v>
      </c>
      <c r="Q503" s="73" t="s">
        <v>4397</v>
      </c>
      <c r="R503" s="1" t="s">
        <v>4396</v>
      </c>
      <c r="S503" t="s">
        <v>0</v>
      </c>
    </row>
    <row r="504" spans="2:19" x14ac:dyDescent="0.35">
      <c r="D504" s="170"/>
      <c r="F504" t="s">
        <v>4395</v>
      </c>
      <c r="L504" s="1"/>
      <c r="N504" s="1"/>
    </row>
    <row r="505" spans="2:19" x14ac:dyDescent="0.35">
      <c r="D505" s="170"/>
      <c r="E505" t="s">
        <v>5120</v>
      </c>
      <c r="L505" s="1"/>
      <c r="N505" s="1"/>
    </row>
    <row r="506" spans="2:19" x14ac:dyDescent="0.35">
      <c r="D506" s="170"/>
      <c r="L506" s="1"/>
      <c r="N506" s="1"/>
    </row>
    <row r="507" spans="2:19" x14ac:dyDescent="0.35">
      <c r="B507" s="83" t="s">
        <v>4403</v>
      </c>
      <c r="D507" s="170"/>
      <c r="E507" t="s">
        <v>4402</v>
      </c>
      <c r="L507" s="1"/>
      <c r="N507" s="1"/>
      <c r="O507" s="73"/>
      <c r="P507" s="1" t="s">
        <v>4401</v>
      </c>
    </row>
    <row r="508" spans="2:19" x14ac:dyDescent="0.35">
      <c r="D508" s="170"/>
      <c r="E508" t="s">
        <v>4400</v>
      </c>
      <c r="M508" s="1"/>
      <c r="N508" s="1"/>
      <c r="O508" s="73"/>
      <c r="P508" s="1" t="s">
        <v>4399</v>
      </c>
    </row>
    <row r="509" spans="2:19" x14ac:dyDescent="0.35">
      <c r="D509" s="170"/>
      <c r="F509" t="s">
        <v>4404</v>
      </c>
      <c r="L509" s="313" t="s">
        <v>3741</v>
      </c>
      <c r="M509" s="1" t="s">
        <v>4406</v>
      </c>
      <c r="N509" s="1" t="s">
        <v>0</v>
      </c>
      <c r="O509" s="73"/>
      <c r="P509" s="1" t="s">
        <v>4399</v>
      </c>
    </row>
    <row r="510" spans="2:19" x14ac:dyDescent="0.35">
      <c r="D510" s="170"/>
      <c r="F510" t="s">
        <v>4405</v>
      </c>
      <c r="L510" s="1"/>
      <c r="N510" s="1"/>
      <c r="O510" s="73"/>
      <c r="P510" s="1"/>
    </row>
    <row r="511" spans="2:19" x14ac:dyDescent="0.35">
      <c r="D511" s="170"/>
      <c r="L511" s="1"/>
      <c r="N511" s="1"/>
      <c r="O511" s="73"/>
      <c r="P511" s="1"/>
    </row>
    <row r="512" spans="2:19" x14ac:dyDescent="0.35">
      <c r="B512" s="83" t="s">
        <v>4385</v>
      </c>
      <c r="D512" s="170"/>
      <c r="E512" t="s">
        <v>4384</v>
      </c>
      <c r="L512" s="1"/>
      <c r="N512" s="1"/>
      <c r="O512" s="73"/>
      <c r="P512" s="1" t="s">
        <v>4381</v>
      </c>
    </row>
    <row r="513" spans="1:26" x14ac:dyDescent="0.35">
      <c r="D513" s="170"/>
      <c r="E513" t="s">
        <v>4383</v>
      </c>
      <c r="L513" s="1"/>
      <c r="N513" s="1"/>
      <c r="O513" s="73"/>
      <c r="P513" s="1" t="s">
        <v>4382</v>
      </c>
    </row>
    <row r="514" spans="1:26" x14ac:dyDescent="0.35">
      <c r="D514" s="170"/>
      <c r="L514" s="1"/>
      <c r="N514" s="1"/>
      <c r="O514" s="73"/>
      <c r="P514" s="1"/>
    </row>
    <row r="515" spans="1:26" x14ac:dyDescent="0.35">
      <c r="B515" s="83" t="s">
        <v>4424</v>
      </c>
      <c r="D515" s="170"/>
      <c r="L515" s="1"/>
      <c r="N515" s="1"/>
      <c r="O515" s="73"/>
      <c r="P515" s="1"/>
    </row>
    <row r="516" spans="1:26" x14ac:dyDescent="0.35">
      <c r="D516" s="170"/>
      <c r="E516" t="s">
        <v>4427</v>
      </c>
      <c r="L516" s="1"/>
      <c r="N516" s="1"/>
      <c r="O516" s="73"/>
      <c r="P516" s="1" t="s">
        <v>4425</v>
      </c>
    </row>
    <row r="517" spans="1:26" x14ac:dyDescent="0.35">
      <c r="D517" s="170"/>
      <c r="E517" t="s">
        <v>4428</v>
      </c>
      <c r="K517" s="1"/>
      <c r="L517" s="1"/>
      <c r="N517" s="1"/>
      <c r="P517" s="1" t="s">
        <v>4426</v>
      </c>
    </row>
    <row r="518" spans="1:26" x14ac:dyDescent="0.35">
      <c r="D518" s="170"/>
      <c r="E518" t="s">
        <v>4429</v>
      </c>
      <c r="L518" s="1"/>
      <c r="N518" s="1"/>
      <c r="O518" s="73"/>
      <c r="P518" s="1" t="s">
        <v>4423</v>
      </c>
    </row>
    <row r="519" spans="1:26" x14ac:dyDescent="0.35">
      <c r="D519" s="170"/>
      <c r="L519" s="1"/>
      <c r="N519" s="1"/>
      <c r="O519" s="73"/>
      <c r="P519" s="1"/>
    </row>
    <row r="520" spans="1:26" s="5" customFormat="1" x14ac:dyDescent="0.35">
      <c r="A520" s="86" t="s">
        <v>2114</v>
      </c>
      <c r="B520" s="84"/>
    </row>
    <row r="521" spans="1:26" x14ac:dyDescent="0.35">
      <c r="K521" s="1"/>
    </row>
    <row r="522" spans="1:26" x14ac:dyDescent="0.35">
      <c r="B522" s="83" t="s">
        <v>2132</v>
      </c>
      <c r="D522" t="s">
        <v>1986</v>
      </c>
      <c r="M522" s="1" t="s">
        <v>1982</v>
      </c>
    </row>
    <row r="523" spans="1:26" x14ac:dyDescent="0.35">
      <c r="E523" t="s">
        <v>2000</v>
      </c>
      <c r="M523" s="1" t="s">
        <v>1983</v>
      </c>
      <c r="Y523" s="73" t="s">
        <v>1995</v>
      </c>
      <c r="Z523" s="1" t="s">
        <v>1994</v>
      </c>
    </row>
    <row r="524" spans="1:26" x14ac:dyDescent="0.35">
      <c r="E524" t="s">
        <v>2001</v>
      </c>
      <c r="M524" s="1" t="s">
        <v>1999</v>
      </c>
      <c r="U524" s="73"/>
      <c r="V524" s="1"/>
      <c r="Y524" s="73" t="s">
        <v>1995</v>
      </c>
      <c r="Z524" s="1" t="s">
        <v>2005</v>
      </c>
    </row>
    <row r="525" spans="1:26" x14ac:dyDescent="0.35">
      <c r="D525" t="s">
        <v>2173</v>
      </c>
      <c r="M525" s="1" t="s">
        <v>2172</v>
      </c>
      <c r="U525" s="73"/>
      <c r="V525" s="1"/>
      <c r="Y525" s="73"/>
      <c r="Z525" s="1"/>
    </row>
    <row r="526" spans="1:26" x14ac:dyDescent="0.35">
      <c r="E526" t="s">
        <v>2175</v>
      </c>
      <c r="M526" s="1" t="s">
        <v>2174</v>
      </c>
      <c r="U526" s="73"/>
      <c r="V526" s="1"/>
      <c r="Y526" s="73"/>
      <c r="Z526" s="1"/>
    </row>
    <row r="527" spans="1:26" x14ac:dyDescent="0.35">
      <c r="D527" t="s">
        <v>2156</v>
      </c>
      <c r="M527" s="1" t="s">
        <v>2155</v>
      </c>
      <c r="U527" s="73"/>
      <c r="V527" s="1"/>
      <c r="Y527" s="73"/>
      <c r="Z527" s="1"/>
    </row>
    <row r="529" spans="2:26" x14ac:dyDescent="0.35">
      <c r="B529" s="83" t="s">
        <v>2133</v>
      </c>
      <c r="D529" t="s">
        <v>2763</v>
      </c>
      <c r="M529" s="1" t="s">
        <v>2135</v>
      </c>
    </row>
    <row r="530" spans="2:26" x14ac:dyDescent="0.35">
      <c r="B530" s="83" t="s">
        <v>2134</v>
      </c>
      <c r="E530" t="s">
        <v>2137</v>
      </c>
      <c r="M530" s="1" t="s">
        <v>2136</v>
      </c>
    </row>
    <row r="531" spans="2:26" x14ac:dyDescent="0.35">
      <c r="D531" t="s">
        <v>2154</v>
      </c>
      <c r="M531" s="1" t="s">
        <v>2153</v>
      </c>
      <c r="U531" s="73"/>
      <c r="V531" s="1"/>
      <c r="Y531" s="73"/>
      <c r="Z531" s="1"/>
    </row>
    <row r="532" spans="2:26" x14ac:dyDescent="0.35">
      <c r="M532" s="1"/>
      <c r="U532" s="73"/>
      <c r="V532" s="1"/>
      <c r="Y532" s="73"/>
      <c r="Z532" s="1"/>
    </row>
    <row r="533" spans="2:26" x14ac:dyDescent="0.35">
      <c r="B533" s="83" t="s">
        <v>2024</v>
      </c>
      <c r="D533" t="s">
        <v>2029</v>
      </c>
      <c r="M533" s="1" t="s">
        <v>2025</v>
      </c>
    </row>
    <row r="534" spans="2:26" x14ac:dyDescent="0.35">
      <c r="E534" t="s">
        <v>2027</v>
      </c>
      <c r="M534" s="1" t="s">
        <v>2026</v>
      </c>
    </row>
    <row r="535" spans="2:26" x14ac:dyDescent="0.35">
      <c r="M535" s="1"/>
    </row>
    <row r="536" spans="2:26" x14ac:dyDescent="0.35">
      <c r="D536" t="s">
        <v>2030</v>
      </c>
      <c r="M536" s="1" t="s">
        <v>2028</v>
      </c>
    </row>
    <row r="537" spans="2:26" x14ac:dyDescent="0.35">
      <c r="E537" t="s">
        <v>2764</v>
      </c>
      <c r="M537" s="1" t="s">
        <v>2023</v>
      </c>
    </row>
    <row r="538" spans="2:26" x14ac:dyDescent="0.35">
      <c r="B538" s="83" t="s">
        <v>2031</v>
      </c>
      <c r="M538" s="1"/>
    </row>
    <row r="539" spans="2:26" x14ac:dyDescent="0.35">
      <c r="D539" t="s">
        <v>2330</v>
      </c>
      <c r="E539" s="186"/>
      <c r="M539" s="1" t="s">
        <v>2115</v>
      </c>
    </row>
    <row r="540" spans="2:26" x14ac:dyDescent="0.35">
      <c r="E540" s="186" t="s">
        <v>2544</v>
      </c>
      <c r="M540" s="1" t="s">
        <v>2116</v>
      </c>
    </row>
    <row r="541" spans="2:26" x14ac:dyDescent="0.35">
      <c r="E541" s="186" t="s">
        <v>2543</v>
      </c>
      <c r="F541" s="186"/>
      <c r="M541" s="1" t="s">
        <v>2147</v>
      </c>
    </row>
    <row r="542" spans="2:26" x14ac:dyDescent="0.35">
      <c r="F542" s="186"/>
      <c r="M542" s="1"/>
    </row>
    <row r="543" spans="2:26" x14ac:dyDescent="0.35">
      <c r="D543" t="s">
        <v>2331</v>
      </c>
      <c r="E543" s="186"/>
      <c r="F543" s="186"/>
      <c r="M543" s="1" t="s">
        <v>2332</v>
      </c>
    </row>
    <row r="544" spans="2:26" x14ac:dyDescent="0.35">
      <c r="D544" t="s">
        <v>2333</v>
      </c>
      <c r="F544" s="186"/>
      <c r="M544" s="1" t="s">
        <v>2334</v>
      </c>
    </row>
    <row r="545" spans="2:13" x14ac:dyDescent="0.35">
      <c r="E545" s="186" t="s">
        <v>2335</v>
      </c>
      <c r="F545" s="186"/>
      <c r="M545" s="1" t="s">
        <v>2336</v>
      </c>
    </row>
    <row r="546" spans="2:13" x14ac:dyDescent="0.35">
      <c r="E546" s="186"/>
      <c r="F546" s="186"/>
      <c r="M546" s="1"/>
    </row>
    <row r="547" spans="2:13" x14ac:dyDescent="0.35">
      <c r="D547" t="s">
        <v>2032</v>
      </c>
      <c r="M547" s="1" t="s">
        <v>2033</v>
      </c>
    </row>
    <row r="548" spans="2:13" x14ac:dyDescent="0.35">
      <c r="E548" t="s">
        <v>2035</v>
      </c>
      <c r="M548" s="1" t="s">
        <v>2034</v>
      </c>
    </row>
    <row r="549" spans="2:13" x14ac:dyDescent="0.35">
      <c r="F549" s="186" t="s">
        <v>2037</v>
      </c>
      <c r="M549" s="1" t="s">
        <v>2036</v>
      </c>
    </row>
    <row r="550" spans="2:13" x14ac:dyDescent="0.35">
      <c r="F550" s="186" t="s">
        <v>2047</v>
      </c>
      <c r="M550" s="1" t="s">
        <v>2046</v>
      </c>
    </row>
    <row r="551" spans="2:13" x14ac:dyDescent="0.35">
      <c r="F551" s="186"/>
      <c r="M551" s="1"/>
    </row>
    <row r="552" spans="2:13" x14ac:dyDescent="0.35">
      <c r="D552" t="s">
        <v>2048</v>
      </c>
      <c r="F552" s="186"/>
      <c r="M552" s="1" t="s">
        <v>2049</v>
      </c>
    </row>
    <row r="553" spans="2:13" x14ac:dyDescent="0.35">
      <c r="E553" s="186" t="s">
        <v>2245</v>
      </c>
      <c r="M553" s="1" t="s">
        <v>2050</v>
      </c>
    </row>
    <row r="554" spans="2:13" x14ac:dyDescent="0.35">
      <c r="E554" s="186" t="s">
        <v>2512</v>
      </c>
      <c r="M554" s="1" t="s">
        <v>2505</v>
      </c>
    </row>
    <row r="555" spans="2:13" x14ac:dyDescent="0.35">
      <c r="E555" s="186"/>
      <c r="M555" s="1"/>
    </row>
    <row r="556" spans="2:13" x14ac:dyDescent="0.35">
      <c r="D556" t="s">
        <v>2591</v>
      </c>
      <c r="M556" s="1" t="s">
        <v>2038</v>
      </c>
    </row>
    <row r="557" spans="2:13" x14ac:dyDescent="0.35">
      <c r="B557" s="187"/>
      <c r="E557" t="s">
        <v>2040</v>
      </c>
      <c r="M557" s="1" t="s">
        <v>2039</v>
      </c>
    </row>
    <row r="558" spans="2:13" x14ac:dyDescent="0.35">
      <c r="B558" s="187"/>
      <c r="E558" s="186" t="s">
        <v>2593</v>
      </c>
      <c r="M558" s="1" t="s">
        <v>2592</v>
      </c>
    </row>
    <row r="560" spans="2:13" ht="39.5" x14ac:dyDescent="0.35">
      <c r="B560" s="83" t="s">
        <v>175</v>
      </c>
      <c r="D560" s="188" t="s">
        <v>90</v>
      </c>
      <c r="E560" s="188" t="s">
        <v>2042</v>
      </c>
      <c r="F560" s="188" t="s">
        <v>2051</v>
      </c>
      <c r="G560" s="188" t="s">
        <v>2043</v>
      </c>
      <c r="H560" s="188" t="s">
        <v>2045</v>
      </c>
      <c r="I560" s="188" t="s">
        <v>2044</v>
      </c>
      <c r="J560" s="188" t="s">
        <v>5218</v>
      </c>
      <c r="K560" s="188" t="s">
        <v>5219</v>
      </c>
    </row>
    <row r="561" spans="4:13" x14ac:dyDescent="0.35">
      <c r="D561" s="13">
        <v>0.33</v>
      </c>
      <c r="E561" s="13">
        <f>10*D561</f>
        <v>3.3000000000000003</v>
      </c>
      <c r="F561" s="15">
        <f>3/D561</f>
        <v>9.0909090909090899</v>
      </c>
      <c r="G561">
        <v>10</v>
      </c>
      <c r="H561" s="12">
        <f>(G561*0.001)*E561</f>
        <v>3.3000000000000002E-2</v>
      </c>
      <c r="I561" s="13">
        <f>((G561*0.001)^2*E561)*1000</f>
        <v>0.33000000000000007</v>
      </c>
      <c r="J561" s="185">
        <f>I561*$E$299</f>
        <v>4.3362000000000007E-4</v>
      </c>
      <c r="K561" s="9">
        <f>J561*30</f>
        <v>1.3008600000000002E-2</v>
      </c>
    </row>
    <row r="562" spans="4:13" x14ac:dyDescent="0.35">
      <c r="D562" s="13">
        <v>1</v>
      </c>
      <c r="E562" s="13">
        <f>10*D562</f>
        <v>10</v>
      </c>
      <c r="F562">
        <f>3/D562</f>
        <v>3</v>
      </c>
      <c r="G562">
        <v>10</v>
      </c>
      <c r="H562" s="12">
        <f>(G562*0.001)*E562</f>
        <v>0.1</v>
      </c>
      <c r="I562" s="13">
        <f>((G562*0.001)^2*E562)*1000</f>
        <v>1</v>
      </c>
      <c r="J562" s="185">
        <f>I562*$E$299</f>
        <v>1.3139999999999998E-3</v>
      </c>
      <c r="K562" s="9">
        <f t="shared" ref="K562:K564" si="27">J562*30</f>
        <v>3.9419999999999997E-2</v>
      </c>
    </row>
    <row r="563" spans="4:13" x14ac:dyDescent="0.35">
      <c r="D563" s="13">
        <v>2</v>
      </c>
      <c r="E563" s="13">
        <f>10*D563</f>
        <v>20</v>
      </c>
      <c r="F563">
        <f>3/D563</f>
        <v>1.5</v>
      </c>
      <c r="G563">
        <v>10</v>
      </c>
      <c r="H563" s="12">
        <f>(G563*0.001)*E563</f>
        <v>0.2</v>
      </c>
      <c r="I563" s="13">
        <f>((G563*0.001)^2*E563)*1000</f>
        <v>2</v>
      </c>
      <c r="J563" s="185">
        <f>I563*$E$299</f>
        <v>2.6279999999999997E-3</v>
      </c>
      <c r="K563" s="9">
        <f t="shared" si="27"/>
        <v>7.8839999999999993E-2</v>
      </c>
    </row>
    <row r="564" spans="4:13" x14ac:dyDescent="0.35">
      <c r="D564" s="13">
        <v>3.3</v>
      </c>
      <c r="E564" s="13">
        <f>10*D564</f>
        <v>33</v>
      </c>
      <c r="F564" s="13">
        <f>3/D564</f>
        <v>0.90909090909090917</v>
      </c>
      <c r="G564">
        <v>10</v>
      </c>
      <c r="H564" s="12">
        <f>(G564*0.001)*E564</f>
        <v>0.33</v>
      </c>
      <c r="I564" s="13">
        <f>((G564*0.001)^2*E564)*1000</f>
        <v>3.3</v>
      </c>
      <c r="J564" s="185">
        <f>I564*$E$299</f>
        <v>4.3361999999999993E-3</v>
      </c>
      <c r="K564" s="9">
        <f t="shared" si="27"/>
        <v>0.13008599999999998</v>
      </c>
    </row>
    <row r="565" spans="4:13" x14ac:dyDescent="0.35">
      <c r="E565" s="1"/>
      <c r="F565" s="13"/>
      <c r="H565" s="12"/>
      <c r="I565" s="13"/>
      <c r="J565" s="185"/>
      <c r="M565" s="1"/>
    </row>
    <row r="566" spans="4:13" x14ac:dyDescent="0.35">
      <c r="D566" t="s">
        <v>2510</v>
      </c>
      <c r="E566" s="1"/>
      <c r="F566" s="13"/>
      <c r="H566" s="12"/>
      <c r="I566" s="13"/>
      <c r="J566" s="185"/>
      <c r="M566" s="1" t="s">
        <v>2511</v>
      </c>
    </row>
    <row r="567" spans="4:13" x14ac:dyDescent="0.35">
      <c r="E567" t="s">
        <v>2524</v>
      </c>
      <c r="F567" s="13"/>
      <c r="H567" s="12"/>
      <c r="I567" s="13"/>
      <c r="J567" s="185"/>
      <c r="M567" s="1"/>
    </row>
    <row r="568" spans="4:13" x14ac:dyDescent="0.35">
      <c r="E568" t="s">
        <v>2526</v>
      </c>
      <c r="F568" s="13"/>
      <c r="H568" s="12"/>
      <c r="I568" s="13"/>
      <c r="J568" s="185"/>
      <c r="M568" s="1" t="s">
        <v>2525</v>
      </c>
    </row>
    <row r="569" spans="4:13" x14ac:dyDescent="0.35">
      <c r="F569" s="13"/>
      <c r="H569" s="12"/>
      <c r="I569" s="13"/>
      <c r="J569" s="185"/>
      <c r="M569" s="1"/>
    </row>
    <row r="570" spans="4:13" x14ac:dyDescent="0.35">
      <c r="D570" t="s">
        <v>2063</v>
      </c>
      <c r="F570" s="13"/>
      <c r="H570" s="12"/>
      <c r="I570" s="13"/>
      <c r="J570" s="185"/>
      <c r="M570" s="1" t="s">
        <v>2052</v>
      </c>
    </row>
    <row r="571" spans="4:13" x14ac:dyDescent="0.35">
      <c r="E571" t="s">
        <v>2055</v>
      </c>
      <c r="F571" s="13"/>
      <c r="H571" s="12"/>
      <c r="I571" s="13"/>
      <c r="J571" s="185"/>
      <c r="M571" s="1" t="s">
        <v>2053</v>
      </c>
    </row>
    <row r="572" spans="4:13" x14ac:dyDescent="0.35">
      <c r="F572" s="13"/>
      <c r="H572" s="12"/>
      <c r="I572" s="13"/>
      <c r="J572" s="185"/>
      <c r="M572" s="1"/>
    </row>
    <row r="573" spans="4:13" x14ac:dyDescent="0.35">
      <c r="D573" t="s">
        <v>2064</v>
      </c>
      <c r="F573" s="13"/>
      <c r="H573" s="12"/>
      <c r="I573" s="13"/>
      <c r="J573" s="185"/>
      <c r="M573" s="1" t="s">
        <v>2062</v>
      </c>
    </row>
    <row r="574" spans="4:13" x14ac:dyDescent="0.35">
      <c r="E574" t="s">
        <v>2060</v>
      </c>
      <c r="F574" s="13"/>
      <c r="H574" s="12"/>
      <c r="I574" s="13"/>
      <c r="J574" s="185"/>
      <c r="M574" s="1" t="s">
        <v>2061</v>
      </c>
    </row>
    <row r="575" spans="4:13" x14ac:dyDescent="0.35">
      <c r="F575" s="13"/>
      <c r="H575" s="12"/>
      <c r="I575" s="13"/>
      <c r="J575" s="185"/>
      <c r="M575" s="1"/>
    </row>
    <row r="576" spans="4:13" x14ac:dyDescent="0.35">
      <c r="D576" t="s">
        <v>2227</v>
      </c>
      <c r="F576" s="13"/>
      <c r="H576" s="12"/>
      <c r="I576" s="13"/>
      <c r="J576" s="185"/>
      <c r="M576" s="1" t="s">
        <v>2228</v>
      </c>
    </row>
    <row r="577" spans="2:16" x14ac:dyDescent="0.35">
      <c r="E577" t="s">
        <v>2226</v>
      </c>
      <c r="F577" s="13"/>
      <c r="H577" s="12"/>
      <c r="I577" s="13"/>
      <c r="J577" s="185"/>
      <c r="M577" s="1" t="s">
        <v>2225</v>
      </c>
    </row>
    <row r="578" spans="2:16" x14ac:dyDescent="0.35">
      <c r="E578" t="s">
        <v>2590</v>
      </c>
      <c r="F578" s="13"/>
      <c r="H578" s="12"/>
      <c r="I578" s="13"/>
      <c r="J578" s="185"/>
      <c r="M578" s="1"/>
      <c r="P578" s="1" t="s">
        <v>2307</v>
      </c>
    </row>
    <row r="579" spans="2:16" x14ac:dyDescent="0.35">
      <c r="F579" s="13"/>
      <c r="H579" s="12"/>
      <c r="I579" s="13"/>
      <c r="J579" s="185"/>
      <c r="M579" s="1"/>
    </row>
    <row r="580" spans="2:16" x14ac:dyDescent="0.35">
      <c r="D580" t="s">
        <v>2229</v>
      </c>
      <c r="F580" s="13"/>
      <c r="H580" s="12"/>
      <c r="I580" s="13"/>
      <c r="J580" s="185"/>
      <c r="M580" s="1" t="s">
        <v>2231</v>
      </c>
    </row>
    <row r="581" spans="2:16" x14ac:dyDescent="0.35">
      <c r="E581" t="s">
        <v>2327</v>
      </c>
      <c r="F581" s="13"/>
      <c r="H581" s="12"/>
      <c r="I581" s="13"/>
      <c r="J581" s="185"/>
      <c r="M581" s="1" t="s">
        <v>2230</v>
      </c>
    </row>
    <row r="582" spans="2:16" x14ac:dyDescent="0.35">
      <c r="F582" s="13"/>
      <c r="H582" s="12"/>
      <c r="I582" s="13"/>
      <c r="J582" s="185"/>
      <c r="M582" s="1"/>
    </row>
    <row r="583" spans="2:16" x14ac:dyDescent="0.35">
      <c r="D583" t="s">
        <v>2324</v>
      </c>
      <c r="F583" s="13"/>
      <c r="H583" s="12"/>
      <c r="I583" s="13"/>
      <c r="J583" s="185"/>
      <c r="M583" s="1" t="s">
        <v>2325</v>
      </c>
    </row>
    <row r="584" spans="2:16" x14ac:dyDescent="0.35">
      <c r="E584" t="s">
        <v>2328</v>
      </c>
      <c r="F584" s="13"/>
      <c r="H584" s="12"/>
      <c r="I584" s="13"/>
      <c r="J584" s="185"/>
      <c r="M584" s="1" t="s">
        <v>2326</v>
      </c>
    </row>
    <row r="585" spans="2:16" x14ac:dyDescent="0.35">
      <c r="F585" s="13"/>
      <c r="H585" s="12"/>
      <c r="I585" s="13"/>
      <c r="J585" s="185"/>
      <c r="M585" s="1"/>
    </row>
    <row r="586" spans="2:16" x14ac:dyDescent="0.35">
      <c r="D586" t="s">
        <v>2065</v>
      </c>
      <c r="F586" s="13"/>
      <c r="H586" s="12"/>
      <c r="I586" s="13"/>
      <c r="J586" s="185"/>
      <c r="M586" s="1" t="s">
        <v>2054</v>
      </c>
    </row>
    <row r="587" spans="2:16" x14ac:dyDescent="0.35">
      <c r="E587" t="s">
        <v>2057</v>
      </c>
      <c r="F587" s="13"/>
      <c r="H587" s="12"/>
      <c r="I587" s="13"/>
      <c r="J587" s="185"/>
      <c r="M587" s="1" t="s">
        <v>2056</v>
      </c>
    </row>
    <row r="588" spans="2:16" x14ac:dyDescent="0.35">
      <c r="F588" s="13"/>
      <c r="H588" s="12"/>
      <c r="I588" s="13"/>
      <c r="J588" s="185"/>
      <c r="M588" s="1"/>
    </row>
    <row r="589" spans="2:16" x14ac:dyDescent="0.35">
      <c r="D589" t="s">
        <v>2066</v>
      </c>
      <c r="F589" s="13"/>
      <c r="H589" s="12"/>
      <c r="I589" s="13"/>
      <c r="J589" s="185"/>
      <c r="M589" s="1" t="s">
        <v>2058</v>
      </c>
    </row>
    <row r="590" spans="2:16" x14ac:dyDescent="0.35">
      <c r="E590" t="s">
        <v>2762</v>
      </c>
      <c r="F590" s="13"/>
      <c r="H590" s="12"/>
      <c r="I590" s="13"/>
      <c r="J590" s="185"/>
      <c r="M590" s="1" t="s">
        <v>2059</v>
      </c>
    </row>
    <row r="591" spans="2:16" x14ac:dyDescent="0.35">
      <c r="F591" s="13"/>
      <c r="H591" s="12"/>
      <c r="I591" s="13"/>
      <c r="J591" s="185"/>
      <c r="M591" s="1"/>
    </row>
    <row r="592" spans="2:16" x14ac:dyDescent="0.35">
      <c r="B592" s="83" t="s">
        <v>2127</v>
      </c>
      <c r="D592" t="s">
        <v>2129</v>
      </c>
      <c r="F592" s="13"/>
      <c r="H592" s="12"/>
      <c r="I592" s="13"/>
      <c r="J592" s="185"/>
      <c r="M592" s="1" t="s">
        <v>2128</v>
      </c>
    </row>
    <row r="593" spans="2:13" x14ac:dyDescent="0.35">
      <c r="E593" t="s">
        <v>2131</v>
      </c>
      <c r="F593" s="13"/>
      <c r="H593" s="12"/>
      <c r="I593" s="13"/>
      <c r="J593" s="185"/>
      <c r="M593" s="1" t="s">
        <v>2130</v>
      </c>
    </row>
    <row r="594" spans="2:13" x14ac:dyDescent="0.35">
      <c r="F594" s="13"/>
      <c r="H594" s="12"/>
      <c r="I594" s="13"/>
      <c r="J594" s="185"/>
      <c r="M594" s="1"/>
    </row>
    <row r="595" spans="2:13" x14ac:dyDescent="0.35">
      <c r="B595" s="83" t="s">
        <v>2460</v>
      </c>
      <c r="F595" s="13"/>
      <c r="H595" s="12"/>
      <c r="I595" s="13"/>
      <c r="J595" s="185"/>
      <c r="M595" s="1"/>
    </row>
    <row r="596" spans="2:13" x14ac:dyDescent="0.35">
      <c r="D596" t="s">
        <v>2454</v>
      </c>
      <c r="M596" s="1" t="s">
        <v>2455</v>
      </c>
    </row>
    <row r="597" spans="2:13" x14ac:dyDescent="0.35">
      <c r="E597" t="s">
        <v>2456</v>
      </c>
      <c r="M597" s="1"/>
    </row>
    <row r="598" spans="2:13" x14ac:dyDescent="0.35">
      <c r="E598" t="s">
        <v>2609</v>
      </c>
      <c r="M598" s="1" t="s">
        <v>2608</v>
      </c>
    </row>
    <row r="599" spans="2:13" x14ac:dyDescent="0.35">
      <c r="M599" s="1"/>
    </row>
    <row r="600" spans="2:13" x14ac:dyDescent="0.35">
      <c r="D600" t="s">
        <v>2150</v>
      </c>
      <c r="M600" s="1" t="s">
        <v>2149</v>
      </c>
    </row>
    <row r="601" spans="2:13" x14ac:dyDescent="0.35">
      <c r="E601" t="s">
        <v>2152</v>
      </c>
      <c r="M601" s="1" t="s">
        <v>2151</v>
      </c>
    </row>
    <row r="602" spans="2:13" x14ac:dyDescent="0.35">
      <c r="M602" s="1"/>
    </row>
    <row r="603" spans="2:13" x14ac:dyDescent="0.35">
      <c r="D603" t="s">
        <v>2611</v>
      </c>
      <c r="M603" s="1" t="s">
        <v>2614</v>
      </c>
    </row>
    <row r="604" spans="2:13" x14ac:dyDescent="0.35">
      <c r="E604" t="s">
        <v>2615</v>
      </c>
      <c r="M604" s="1" t="s">
        <v>2613</v>
      </c>
    </row>
    <row r="605" spans="2:13" x14ac:dyDescent="0.35">
      <c r="M605" s="1"/>
    </row>
    <row r="606" spans="2:13" x14ac:dyDescent="0.35">
      <c r="D606" t="s">
        <v>2612</v>
      </c>
      <c r="M606" s="1" t="s">
        <v>2617</v>
      </c>
    </row>
    <row r="607" spans="2:13" x14ac:dyDescent="0.35">
      <c r="E607" t="s">
        <v>2618</v>
      </c>
      <c r="M607" s="1" t="s">
        <v>2616</v>
      </c>
    </row>
    <row r="608" spans="2:13" x14ac:dyDescent="0.35">
      <c r="F608" s="13"/>
      <c r="H608" s="12"/>
      <c r="I608" s="13"/>
      <c r="J608" s="185"/>
      <c r="M608" s="1"/>
    </row>
    <row r="609" spans="4:13" x14ac:dyDescent="0.35">
      <c r="D609" t="s">
        <v>2458</v>
      </c>
      <c r="M609" s="1" t="s">
        <v>2457</v>
      </c>
    </row>
    <row r="610" spans="4:13" x14ac:dyDescent="0.35">
      <c r="E610" t="s">
        <v>2476</v>
      </c>
      <c r="F610" s="13"/>
      <c r="H610" s="12"/>
      <c r="I610" s="13"/>
      <c r="J610" s="185"/>
      <c r="M610" s="1" t="s">
        <v>2461</v>
      </c>
    </row>
    <row r="611" spans="4:13" x14ac:dyDescent="0.35">
      <c r="F611" s="13"/>
      <c r="H611" s="12"/>
      <c r="I611" s="13"/>
      <c r="J611" s="185"/>
      <c r="M611" s="1"/>
    </row>
    <row r="612" spans="4:13" x14ac:dyDescent="0.35">
      <c r="D612" t="s">
        <v>2477</v>
      </c>
      <c r="F612" s="13"/>
      <c r="H612" s="12"/>
      <c r="I612" s="13"/>
      <c r="J612" s="185"/>
      <c r="M612" s="1"/>
    </row>
    <row r="613" spans="4:13" x14ac:dyDescent="0.35">
      <c r="E613" t="s">
        <v>2478</v>
      </c>
      <c r="F613" s="13"/>
      <c r="H613" s="12"/>
      <c r="I613" s="13"/>
      <c r="J613" s="185"/>
      <c r="M613" s="1" t="s">
        <v>2475</v>
      </c>
    </row>
    <row r="614" spans="4:13" x14ac:dyDescent="0.35">
      <c r="F614" s="13"/>
      <c r="H614" s="12"/>
      <c r="I614" s="13"/>
      <c r="J614" s="185"/>
      <c r="M614" s="1"/>
    </row>
    <row r="615" spans="4:13" x14ac:dyDescent="0.35">
      <c r="D615" t="s">
        <v>2594</v>
      </c>
      <c r="F615" s="13"/>
      <c r="H615" s="12"/>
      <c r="I615" s="13"/>
      <c r="J615" s="185"/>
      <c r="M615" s="1" t="s">
        <v>2595</v>
      </c>
    </row>
    <row r="616" spans="4:13" x14ac:dyDescent="0.35">
      <c r="E616" t="s">
        <v>2597</v>
      </c>
      <c r="F616" s="13"/>
      <c r="H616" s="12"/>
      <c r="I616" s="13"/>
      <c r="J616" s="185"/>
      <c r="M616" s="1" t="s">
        <v>2596</v>
      </c>
    </row>
    <row r="617" spans="4:13" x14ac:dyDescent="0.35">
      <c r="F617" s="13"/>
      <c r="H617" s="12"/>
      <c r="I617" s="13"/>
      <c r="J617" s="185"/>
      <c r="M617" s="1"/>
    </row>
    <row r="618" spans="4:13" x14ac:dyDescent="0.35">
      <c r="D618" t="s">
        <v>2480</v>
      </c>
      <c r="F618" s="13"/>
      <c r="H618" s="12"/>
      <c r="I618" s="13"/>
      <c r="J618" s="185"/>
      <c r="M618" s="1" t="s">
        <v>2479</v>
      </c>
    </row>
    <row r="619" spans="4:13" x14ac:dyDescent="0.35">
      <c r="E619" t="s">
        <v>2482</v>
      </c>
      <c r="F619" s="13"/>
      <c r="H619" s="12"/>
      <c r="I619" s="13"/>
      <c r="J619" s="185"/>
      <c r="M619" s="1" t="s">
        <v>2481</v>
      </c>
    </row>
    <row r="620" spans="4:13" x14ac:dyDescent="0.35">
      <c r="F620" s="13"/>
      <c r="H620" s="12"/>
      <c r="I620" s="13"/>
      <c r="J620" s="185"/>
      <c r="M620" s="1"/>
    </row>
    <row r="621" spans="4:13" x14ac:dyDescent="0.35">
      <c r="D621" t="s">
        <v>2110</v>
      </c>
      <c r="M621" s="1" t="s">
        <v>2099</v>
      </c>
    </row>
    <row r="622" spans="4:13" x14ac:dyDescent="0.35">
      <c r="E622" t="s">
        <v>2103</v>
      </c>
      <c r="F622" s="13"/>
      <c r="H622" s="12"/>
      <c r="I622" s="13"/>
      <c r="J622" s="185"/>
      <c r="M622" s="1" t="s">
        <v>2102</v>
      </c>
    </row>
    <row r="623" spans="4:13" x14ac:dyDescent="0.35">
      <c r="E623" t="s">
        <v>2104</v>
      </c>
      <c r="F623" s="13"/>
      <c r="H623" s="12"/>
      <c r="I623" s="13"/>
      <c r="J623" s="185"/>
      <c r="M623" s="1" t="s">
        <v>2101</v>
      </c>
    </row>
    <row r="624" spans="4:13" x14ac:dyDescent="0.35">
      <c r="E624" t="s">
        <v>2105</v>
      </c>
      <c r="M624" s="1" t="s">
        <v>2100</v>
      </c>
    </row>
    <row r="625" spans="2:13" x14ac:dyDescent="0.35">
      <c r="E625" t="s">
        <v>2358</v>
      </c>
      <c r="M625" s="1"/>
    </row>
    <row r="626" spans="2:13" x14ac:dyDescent="0.35">
      <c r="M626" s="1"/>
    </row>
    <row r="627" spans="2:13" x14ac:dyDescent="0.35">
      <c r="D627" t="s">
        <v>2540</v>
      </c>
      <c r="M627" s="1" t="s">
        <v>2539</v>
      </c>
    </row>
    <row r="628" spans="2:13" x14ac:dyDescent="0.35">
      <c r="E628" t="s">
        <v>2541</v>
      </c>
      <c r="M628" s="1" t="s">
        <v>2095</v>
      </c>
    </row>
    <row r="629" spans="2:13" x14ac:dyDescent="0.35">
      <c r="M629" s="1"/>
    </row>
    <row r="630" spans="2:13" x14ac:dyDescent="0.35">
      <c r="D630" t="s">
        <v>2109</v>
      </c>
      <c r="F630" s="13"/>
      <c r="H630" s="12"/>
      <c r="I630" s="13"/>
      <c r="J630" s="185"/>
      <c r="M630" s="1" t="s">
        <v>2094</v>
      </c>
    </row>
    <row r="631" spans="2:13" x14ac:dyDescent="0.35">
      <c r="E631" t="s">
        <v>2541</v>
      </c>
      <c r="M631" s="1" t="s">
        <v>2095</v>
      </c>
    </row>
    <row r="632" spans="2:13" x14ac:dyDescent="0.35">
      <c r="E632" t="s">
        <v>2106</v>
      </c>
      <c r="F632" s="13"/>
      <c r="H632" s="12"/>
      <c r="I632" s="13"/>
      <c r="J632" s="185"/>
      <c r="M632" s="1" t="s">
        <v>2097</v>
      </c>
    </row>
    <row r="633" spans="2:13" x14ac:dyDescent="0.35">
      <c r="E633" t="s">
        <v>2107</v>
      </c>
      <c r="M633" s="1" t="s">
        <v>2098</v>
      </c>
    </row>
    <row r="634" spans="2:13" x14ac:dyDescent="0.35">
      <c r="E634" t="s">
        <v>2108</v>
      </c>
      <c r="F634" s="13"/>
      <c r="H634" s="12"/>
      <c r="I634" s="13"/>
      <c r="J634" s="185"/>
      <c r="M634" s="1" t="s">
        <v>2096</v>
      </c>
    </row>
    <row r="635" spans="2:13" x14ac:dyDescent="0.35">
      <c r="B635" s="83" t="s">
        <v>2459</v>
      </c>
    </row>
    <row r="636" spans="2:13" x14ac:dyDescent="0.35">
      <c r="D636" t="s">
        <v>2470</v>
      </c>
      <c r="M636" s="1" t="s">
        <v>2469</v>
      </c>
    </row>
    <row r="637" spans="2:13" x14ac:dyDescent="0.35">
      <c r="E637" t="s">
        <v>2472</v>
      </c>
      <c r="M637" s="1" t="s">
        <v>2471</v>
      </c>
    </row>
    <row r="638" spans="2:13" x14ac:dyDescent="0.35">
      <c r="E638" t="s">
        <v>2474</v>
      </c>
      <c r="M638" s="1" t="s">
        <v>2473</v>
      </c>
    </row>
    <row r="640" spans="2:13" x14ac:dyDescent="0.35">
      <c r="D640" t="s">
        <v>2508</v>
      </c>
      <c r="M640" s="1" t="s">
        <v>2509</v>
      </c>
    </row>
    <row r="641" spans="2:13" x14ac:dyDescent="0.35">
      <c r="E641" t="s">
        <v>2542</v>
      </c>
    </row>
    <row r="643" spans="2:13" x14ac:dyDescent="0.35">
      <c r="D643" t="s">
        <v>2565</v>
      </c>
      <c r="M643" s="1" t="s">
        <v>2564</v>
      </c>
    </row>
    <row r="644" spans="2:13" x14ac:dyDescent="0.35">
      <c r="E644" t="s">
        <v>2569</v>
      </c>
      <c r="M644" s="1" t="s">
        <v>2568</v>
      </c>
    </row>
    <row r="645" spans="2:13" x14ac:dyDescent="0.35">
      <c r="E645" t="s">
        <v>2567</v>
      </c>
      <c r="M645" s="1" t="s">
        <v>2566</v>
      </c>
    </row>
    <row r="646" spans="2:13" x14ac:dyDescent="0.35">
      <c r="M646" s="1"/>
    </row>
    <row r="647" spans="2:13" x14ac:dyDescent="0.35">
      <c r="D647" t="s">
        <v>2234</v>
      </c>
      <c r="M647" s="1" t="s">
        <v>2235</v>
      </c>
    </row>
    <row r="648" spans="2:13" x14ac:dyDescent="0.35">
      <c r="E648" t="s">
        <v>2237</v>
      </c>
      <c r="M648" s="1" t="s">
        <v>2236</v>
      </c>
    </row>
    <row r="649" spans="2:13" x14ac:dyDescent="0.35">
      <c r="M649" s="1"/>
    </row>
    <row r="650" spans="2:13" x14ac:dyDescent="0.35">
      <c r="D650" t="s">
        <v>2239</v>
      </c>
      <c r="M650" s="1" t="s">
        <v>2240</v>
      </c>
    </row>
    <row r="651" spans="2:13" x14ac:dyDescent="0.35">
      <c r="E651" t="s">
        <v>2250</v>
      </c>
      <c r="M651" s="1" t="s">
        <v>2238</v>
      </c>
    </row>
    <row r="652" spans="2:13" x14ac:dyDescent="0.35">
      <c r="M652" s="1"/>
    </row>
    <row r="653" spans="2:13" x14ac:dyDescent="0.35">
      <c r="B653" s="83" t="s">
        <v>2504</v>
      </c>
      <c r="H653">
        <v>265</v>
      </c>
      <c r="I653">
        <v>1.4139999999999999</v>
      </c>
      <c r="J653">
        <f>H653*I653</f>
        <v>374.71</v>
      </c>
      <c r="M653" s="1"/>
    </row>
    <row r="654" spans="2:13" x14ac:dyDescent="0.35">
      <c r="D654" t="s">
        <v>2361</v>
      </c>
      <c r="M654" s="1" t="s">
        <v>2362</v>
      </c>
    </row>
    <row r="655" spans="2:13" x14ac:dyDescent="0.35">
      <c r="E655" t="s">
        <v>2658</v>
      </c>
      <c r="M655" s="1" t="s">
        <v>2363</v>
      </c>
    </row>
    <row r="656" spans="2:13" x14ac:dyDescent="0.35">
      <c r="E656" t="s">
        <v>2659</v>
      </c>
      <c r="M656" s="1" t="s">
        <v>2507</v>
      </c>
    </row>
    <row r="658" spans="2:13" x14ac:dyDescent="0.35">
      <c r="D658" t="s">
        <v>2270</v>
      </c>
      <c r="G658" t="s">
        <v>2257</v>
      </c>
      <c r="I658" t="s">
        <v>2256</v>
      </c>
      <c r="M658" s="1" t="s">
        <v>2255</v>
      </c>
    </row>
    <row r="659" spans="2:13" x14ac:dyDescent="0.35">
      <c r="G659" t="s">
        <v>2259</v>
      </c>
      <c r="I659" t="s">
        <v>2260</v>
      </c>
      <c r="M659" s="1" t="s">
        <v>2258</v>
      </c>
    </row>
    <row r="660" spans="2:13" x14ac:dyDescent="0.35">
      <c r="G660" t="s">
        <v>2261</v>
      </c>
      <c r="I660" t="s">
        <v>1855</v>
      </c>
      <c r="M660" s="1"/>
    </row>
    <row r="661" spans="2:13" x14ac:dyDescent="0.35">
      <c r="G661" t="s">
        <v>2262</v>
      </c>
      <c r="I661" t="s">
        <v>1855</v>
      </c>
      <c r="M661" s="1"/>
    </row>
    <row r="662" spans="2:13" x14ac:dyDescent="0.35">
      <c r="G662" t="s">
        <v>2263</v>
      </c>
      <c r="M662" s="1" t="s">
        <v>2264</v>
      </c>
    </row>
    <row r="663" spans="2:13" x14ac:dyDescent="0.35">
      <c r="H663" t="s">
        <v>2266</v>
      </c>
      <c r="I663" t="s">
        <v>2267</v>
      </c>
      <c r="M663" s="1" t="s">
        <v>2265</v>
      </c>
    </row>
    <row r="664" spans="2:13" x14ac:dyDescent="0.35">
      <c r="H664" t="s">
        <v>2268</v>
      </c>
      <c r="I664" t="s">
        <v>2269</v>
      </c>
      <c r="M664" s="1"/>
    </row>
    <row r="665" spans="2:13" x14ac:dyDescent="0.35">
      <c r="D665" t="s">
        <v>2282</v>
      </c>
      <c r="M665" s="1" t="s">
        <v>2281</v>
      </c>
    </row>
    <row r="666" spans="2:13" x14ac:dyDescent="0.35">
      <c r="D666" t="s">
        <v>2286</v>
      </c>
      <c r="M666" s="1" t="s">
        <v>2288</v>
      </c>
    </row>
    <row r="667" spans="2:13" x14ac:dyDescent="0.35">
      <c r="E667" t="s">
        <v>2287</v>
      </c>
      <c r="M667" s="1" t="s">
        <v>2285</v>
      </c>
    </row>
    <row r="668" spans="2:13" x14ac:dyDescent="0.35">
      <c r="D668" t="s">
        <v>0</v>
      </c>
      <c r="E668" t="s">
        <v>2657</v>
      </c>
      <c r="M668" s="1" t="s">
        <v>2643</v>
      </c>
    </row>
    <row r="669" spans="2:13" x14ac:dyDescent="0.35">
      <c r="E669" t="s">
        <v>2290</v>
      </c>
      <c r="M669" s="1" t="s">
        <v>2289</v>
      </c>
    </row>
    <row r="671" spans="2:13" x14ac:dyDescent="0.35">
      <c r="B671" s="83" t="s">
        <v>2462</v>
      </c>
      <c r="M671" s="1"/>
    </row>
    <row r="672" spans="2:13" x14ac:dyDescent="0.35">
      <c r="D672" t="s">
        <v>2013</v>
      </c>
      <c r="M672" s="1" t="s">
        <v>2002</v>
      </c>
    </row>
    <row r="673" spans="4:13" x14ac:dyDescent="0.35">
      <c r="E673" t="s">
        <v>2004</v>
      </c>
      <c r="M673" s="1" t="s">
        <v>2003</v>
      </c>
    </row>
    <row r="674" spans="4:13" x14ac:dyDescent="0.35">
      <c r="M674" s="1"/>
    </row>
    <row r="675" spans="4:13" x14ac:dyDescent="0.35">
      <c r="D675" t="s">
        <v>2012</v>
      </c>
      <c r="M675" s="1" t="s">
        <v>1988</v>
      </c>
    </row>
    <row r="676" spans="4:13" x14ac:dyDescent="0.35">
      <c r="E676" t="s">
        <v>1985</v>
      </c>
      <c r="M676" s="1" t="s">
        <v>1984</v>
      </c>
    </row>
    <row r="677" spans="4:13" x14ac:dyDescent="0.35">
      <c r="E677" t="s">
        <v>1992</v>
      </c>
      <c r="M677" s="1" t="s">
        <v>1993</v>
      </c>
    </row>
    <row r="678" spans="4:13" x14ac:dyDescent="0.35">
      <c r="E678" t="s">
        <v>1990</v>
      </c>
      <c r="M678" s="1" t="s">
        <v>1987</v>
      </c>
    </row>
    <row r="679" spans="4:13" x14ac:dyDescent="0.35">
      <c r="E679" t="s">
        <v>1991</v>
      </c>
      <c r="M679" s="1" t="s">
        <v>1989</v>
      </c>
    </row>
    <row r="680" spans="4:13" x14ac:dyDescent="0.35">
      <c r="M680" s="1"/>
    </row>
    <row r="681" spans="4:13" x14ac:dyDescent="0.35">
      <c r="D681" t="s">
        <v>2014</v>
      </c>
      <c r="M681" s="1" t="s">
        <v>2002</v>
      </c>
    </row>
    <row r="682" spans="4:13" x14ac:dyDescent="0.35">
      <c r="E682" t="s">
        <v>2183</v>
      </c>
      <c r="M682" s="1" t="s">
        <v>2015</v>
      </c>
    </row>
    <row r="683" spans="4:13" x14ac:dyDescent="0.35">
      <c r="M683" s="1"/>
    </row>
    <row r="684" spans="4:13" x14ac:dyDescent="0.35">
      <c r="D684" t="s">
        <v>1997</v>
      </c>
      <c r="M684" s="1" t="s">
        <v>1996</v>
      </c>
    </row>
    <row r="685" spans="4:13" x14ac:dyDescent="0.35">
      <c r="E685" t="s">
        <v>2182</v>
      </c>
      <c r="M685" s="1" t="s">
        <v>1998</v>
      </c>
    </row>
    <row r="686" spans="4:13" x14ac:dyDescent="0.35">
      <c r="M686" s="1"/>
    </row>
    <row r="687" spans="4:13" x14ac:dyDescent="0.35">
      <c r="D687" t="s">
        <v>2249</v>
      </c>
      <c r="M687" s="1" t="s">
        <v>2246</v>
      </c>
    </row>
    <row r="688" spans="4:13" x14ac:dyDescent="0.35">
      <c r="E688" t="s">
        <v>2247</v>
      </c>
      <c r="M688" s="1" t="s">
        <v>2248</v>
      </c>
    </row>
    <row r="689" spans="2:13" x14ac:dyDescent="0.35">
      <c r="M689" s="1"/>
    </row>
    <row r="690" spans="2:13" x14ac:dyDescent="0.35">
      <c r="D690" t="s">
        <v>2111</v>
      </c>
      <c r="M690" s="1" t="s">
        <v>2002</v>
      </c>
    </row>
    <row r="691" spans="2:13" x14ac:dyDescent="0.35">
      <c r="E691" t="s">
        <v>2113</v>
      </c>
      <c r="M691" s="1" t="s">
        <v>2112</v>
      </c>
    </row>
    <row r="692" spans="2:13" x14ac:dyDescent="0.35">
      <c r="M692" s="1"/>
    </row>
    <row r="693" spans="2:13" x14ac:dyDescent="0.35">
      <c r="B693" s="83" t="s">
        <v>2463</v>
      </c>
      <c r="M693" s="1"/>
    </row>
    <row r="694" spans="2:13" x14ac:dyDescent="0.35">
      <c r="D694" t="s">
        <v>2315</v>
      </c>
      <c r="M694" s="1" t="s">
        <v>2314</v>
      </c>
    </row>
    <row r="695" spans="2:13" x14ac:dyDescent="0.35">
      <c r="E695" t="s">
        <v>2317</v>
      </c>
      <c r="M695" s="1" t="s">
        <v>2316</v>
      </c>
    </row>
    <row r="696" spans="2:13" x14ac:dyDescent="0.35">
      <c r="M696" s="1"/>
    </row>
    <row r="697" spans="2:13" x14ac:dyDescent="0.35">
      <c r="D697" t="s">
        <v>2402</v>
      </c>
      <c r="M697" s="1" t="s">
        <v>2399</v>
      </c>
    </row>
    <row r="698" spans="2:13" x14ac:dyDescent="0.35">
      <c r="E698" t="s">
        <v>2403</v>
      </c>
      <c r="M698" s="1" t="s">
        <v>2400</v>
      </c>
    </row>
    <row r="699" spans="2:13" x14ac:dyDescent="0.35">
      <c r="M699" s="1"/>
    </row>
    <row r="700" spans="2:13" x14ac:dyDescent="0.35">
      <c r="D700" t="s">
        <v>2401</v>
      </c>
      <c r="M700" s="1" t="s">
        <v>2404</v>
      </c>
    </row>
    <row r="701" spans="2:13" x14ac:dyDescent="0.35">
      <c r="E701" t="s">
        <v>2466</v>
      </c>
      <c r="M701" s="1" t="s">
        <v>2405</v>
      </c>
    </row>
    <row r="702" spans="2:13" x14ac:dyDescent="0.35">
      <c r="M702" s="1"/>
    </row>
    <row r="703" spans="2:13" x14ac:dyDescent="0.35">
      <c r="D703" t="s">
        <v>2465</v>
      </c>
      <c r="M703" s="1" t="s">
        <v>2464</v>
      </c>
    </row>
    <row r="704" spans="2:13" x14ac:dyDescent="0.35">
      <c r="E704" t="s">
        <v>2468</v>
      </c>
      <c r="M704" s="1" t="s">
        <v>2467</v>
      </c>
    </row>
    <row r="705" spans="2:13" x14ac:dyDescent="0.35">
      <c r="M705" s="1"/>
    </row>
    <row r="706" spans="2:13" x14ac:dyDescent="0.35">
      <c r="D706" t="s">
        <v>2560</v>
      </c>
      <c r="M706" s="1" t="s">
        <v>2559</v>
      </c>
    </row>
    <row r="707" spans="2:13" x14ac:dyDescent="0.35">
      <c r="E707" t="s">
        <v>2576</v>
      </c>
      <c r="M707" s="1" t="s">
        <v>2563</v>
      </c>
    </row>
    <row r="708" spans="2:13" x14ac:dyDescent="0.35">
      <c r="E708" t="s">
        <v>2562</v>
      </c>
      <c r="M708" s="1" t="s">
        <v>2561</v>
      </c>
    </row>
    <row r="709" spans="2:13" x14ac:dyDescent="0.35">
      <c r="M709" s="1"/>
    </row>
    <row r="710" spans="2:13" x14ac:dyDescent="0.35">
      <c r="B710" s="83" t="s">
        <v>2126</v>
      </c>
      <c r="D710" t="s">
        <v>2123</v>
      </c>
      <c r="M710" s="1" t="s">
        <v>2122</v>
      </c>
    </row>
    <row r="711" spans="2:13" x14ac:dyDescent="0.35">
      <c r="E711" t="s">
        <v>2125</v>
      </c>
      <c r="M711" s="1" t="s">
        <v>2124</v>
      </c>
    </row>
    <row r="712" spans="2:13" x14ac:dyDescent="0.35">
      <c r="E712" t="s">
        <v>2139</v>
      </c>
      <c r="M712" s="1"/>
    </row>
    <row r="713" spans="2:13" x14ac:dyDescent="0.35">
      <c r="D713" t="s">
        <v>2140</v>
      </c>
      <c r="M713" s="1" t="s">
        <v>2141</v>
      </c>
    </row>
    <row r="714" spans="2:13" x14ac:dyDescent="0.35">
      <c r="E714" t="s">
        <v>2142</v>
      </c>
      <c r="M714" s="1" t="s">
        <v>2143</v>
      </c>
    </row>
    <row r="715" spans="2:13" x14ac:dyDescent="0.35">
      <c r="D715" t="s">
        <v>2312</v>
      </c>
      <c r="M715" s="1" t="s">
        <v>2311</v>
      </c>
    </row>
    <row r="716" spans="2:13" x14ac:dyDescent="0.35">
      <c r="E716" s="2" t="s">
        <v>2319</v>
      </c>
      <c r="K716" s="1"/>
      <c r="M716" s="1" t="s">
        <v>2313</v>
      </c>
    </row>
    <row r="717" spans="2:13" x14ac:dyDescent="0.35">
      <c r="D717" t="s">
        <v>2554</v>
      </c>
      <c r="E717" s="2"/>
      <c r="K717" s="1"/>
      <c r="M717" s="1" t="s">
        <v>2553</v>
      </c>
    </row>
    <row r="718" spans="2:13" x14ac:dyDescent="0.35">
      <c r="E718" s="2" t="s">
        <v>2555</v>
      </c>
      <c r="K718" s="1"/>
      <c r="M718" s="1" t="s">
        <v>2552</v>
      </c>
    </row>
    <row r="719" spans="2:13" x14ac:dyDescent="0.35">
      <c r="E719" s="2" t="s">
        <v>2761</v>
      </c>
      <c r="K719" s="1"/>
      <c r="M719" s="1"/>
    </row>
    <row r="720" spans="2:13" x14ac:dyDescent="0.35">
      <c r="E720" s="2"/>
      <c r="K720" s="1"/>
      <c r="M720" s="1"/>
    </row>
    <row r="721" spans="1:13" s="5" customFormat="1" x14ac:dyDescent="0.35">
      <c r="A721" s="86" t="s">
        <v>2905</v>
      </c>
      <c r="B721" s="84"/>
    </row>
    <row r="722" spans="1:13" x14ac:dyDescent="0.35">
      <c r="E722" s="2"/>
      <c r="K722" s="1"/>
      <c r="M722" s="1"/>
    </row>
    <row r="723" spans="1:13" x14ac:dyDescent="0.35">
      <c r="B723" s="83" t="s">
        <v>4412</v>
      </c>
      <c r="E723" s="2"/>
      <c r="K723" s="1"/>
      <c r="M723" s="1"/>
    </row>
    <row r="724" spans="1:13" x14ac:dyDescent="0.35">
      <c r="E724" s="2"/>
      <c r="K724" s="1"/>
      <c r="M724" s="1"/>
    </row>
    <row r="725" spans="1:13" x14ac:dyDescent="0.35">
      <c r="E725" s="2"/>
      <c r="K725" s="1"/>
      <c r="M725" s="1"/>
    </row>
    <row r="726" spans="1:13" s="5" customFormat="1" x14ac:dyDescent="0.35">
      <c r="A726" s="86" t="s">
        <v>2344</v>
      </c>
      <c r="B726" s="84"/>
    </row>
    <row r="728" spans="1:13" x14ac:dyDescent="0.35">
      <c r="B728" s="83" t="s">
        <v>99</v>
      </c>
      <c r="D728" t="s">
        <v>2158</v>
      </c>
      <c r="F728" t="s">
        <v>2159</v>
      </c>
    </row>
    <row r="729" spans="1:13" x14ac:dyDescent="0.35">
      <c r="D729" t="s">
        <v>2157</v>
      </c>
      <c r="F729" t="s">
        <v>2345</v>
      </c>
    </row>
    <row r="730" spans="1:13" x14ac:dyDescent="0.35">
      <c r="D730" t="s">
        <v>2161</v>
      </c>
      <c r="F730" t="s">
        <v>2163</v>
      </c>
    </row>
    <row r="731" spans="1:13" x14ac:dyDescent="0.35">
      <c r="D731" t="s">
        <v>2160</v>
      </c>
      <c r="F731" t="s">
        <v>2346</v>
      </c>
    </row>
    <row r="732" spans="1:13" x14ac:dyDescent="0.35">
      <c r="D732" t="s">
        <v>2169</v>
      </c>
      <c r="F732" s="186">
        <f>F764</f>
        <v>0.55000000000000004</v>
      </c>
    </row>
    <row r="733" spans="1:13" x14ac:dyDescent="0.35">
      <c r="D733" t="s">
        <v>2170</v>
      </c>
      <c r="F733" s="48">
        <f>J764</f>
        <v>121.26000000000002</v>
      </c>
    </row>
    <row r="734" spans="1:13" x14ac:dyDescent="0.35">
      <c r="D734" t="s">
        <v>2271</v>
      </c>
      <c r="F734" s="12">
        <f>F733*$E$301*$E$302</f>
        <v>0.37590600000000007</v>
      </c>
    </row>
    <row r="736" spans="1:13" x14ac:dyDescent="0.35">
      <c r="B736" s="83" t="s">
        <v>2076</v>
      </c>
      <c r="D736" s="13">
        <v>33</v>
      </c>
      <c r="E736" t="s">
        <v>40</v>
      </c>
      <c r="F736" t="s">
        <v>2164</v>
      </c>
    </row>
    <row r="737" spans="2:23" x14ac:dyDescent="0.35">
      <c r="D737" s="13">
        <v>3.5</v>
      </c>
      <c r="E737" t="s">
        <v>40</v>
      </c>
      <c r="F737" t="s">
        <v>2165</v>
      </c>
    </row>
    <row r="738" spans="2:23" x14ac:dyDescent="0.35">
      <c r="D738">
        <f>$E$304</f>
        <v>1</v>
      </c>
      <c r="E738" t="s">
        <v>1834</v>
      </c>
      <c r="F738" t="s">
        <v>2171</v>
      </c>
      <c r="H738" t="s">
        <v>2194</v>
      </c>
    </row>
    <row r="739" spans="2:23" x14ac:dyDescent="0.35">
      <c r="D739">
        <f>$E$305</f>
        <v>4</v>
      </c>
      <c r="E739" t="s">
        <v>1834</v>
      </c>
      <c r="H739" t="s">
        <v>2195</v>
      </c>
    </row>
    <row r="740" spans="2:23" x14ac:dyDescent="0.35">
      <c r="D740">
        <f>$E$306</f>
        <v>16</v>
      </c>
      <c r="E740" t="s">
        <v>1834</v>
      </c>
      <c r="H740" t="s">
        <v>2196</v>
      </c>
    </row>
    <row r="741" spans="2:23" x14ac:dyDescent="0.35">
      <c r="D741" s="13">
        <v>5</v>
      </c>
      <c r="E741" t="s">
        <v>39</v>
      </c>
      <c r="F741" t="s">
        <v>2302</v>
      </c>
    </row>
    <row r="742" spans="2:23" x14ac:dyDescent="0.35">
      <c r="D742">
        <v>26</v>
      </c>
      <c r="E742" t="s">
        <v>1441</v>
      </c>
      <c r="F742" t="s">
        <v>2178</v>
      </c>
    </row>
    <row r="743" spans="2:23" x14ac:dyDescent="0.35">
      <c r="D743">
        <v>65</v>
      </c>
      <c r="E743" t="s">
        <v>1441</v>
      </c>
      <c r="F743" t="s">
        <v>2551</v>
      </c>
    </row>
    <row r="744" spans="2:23" x14ac:dyDescent="0.35">
      <c r="D744" s="13">
        <v>25</v>
      </c>
      <c r="E744" t="s">
        <v>2188</v>
      </c>
      <c r="F744" t="s">
        <v>2189</v>
      </c>
    </row>
    <row r="745" spans="2:23" x14ac:dyDescent="0.35">
      <c r="D745">
        <v>2.2000000000000002</v>
      </c>
      <c r="E745" t="s">
        <v>1837</v>
      </c>
      <c r="F745" t="s">
        <v>2710</v>
      </c>
    </row>
    <row r="747" spans="2:23" x14ac:dyDescent="0.35">
      <c r="B747" s="83" t="s">
        <v>2291</v>
      </c>
    </row>
    <row r="748" spans="2:23" x14ac:dyDescent="0.35">
      <c r="B748"/>
      <c r="D748" s="144" t="s">
        <v>39</v>
      </c>
      <c r="E748" s="144" t="s">
        <v>40</v>
      </c>
      <c r="F748" s="144" t="s">
        <v>38</v>
      </c>
      <c r="G748" s="144" t="s">
        <v>264</v>
      </c>
    </row>
    <row r="749" spans="2:23" x14ac:dyDescent="0.35">
      <c r="B749"/>
      <c r="D749">
        <v>30</v>
      </c>
      <c r="E749">
        <v>33</v>
      </c>
      <c r="F749" s="13">
        <f>D749/E749</f>
        <v>0.90909090909090906</v>
      </c>
      <c r="G749" s="15">
        <f>F749*D749</f>
        <v>27.272727272727273</v>
      </c>
    </row>
    <row r="750" spans="2:23" x14ac:dyDescent="0.35">
      <c r="B750"/>
      <c r="I750" s="83"/>
      <c r="M750" s="13"/>
      <c r="N750" s="15"/>
    </row>
    <row r="751" spans="2:23" x14ac:dyDescent="0.35">
      <c r="B751" s="83" t="s">
        <v>2292</v>
      </c>
      <c r="L751" s="83" t="s">
        <v>2549</v>
      </c>
      <c r="Q751" s="83" t="s">
        <v>2709</v>
      </c>
      <c r="R751" s="12"/>
      <c r="T751" s="15"/>
      <c r="U751" s="15"/>
      <c r="V751" s="13"/>
    </row>
    <row r="752" spans="2:23" x14ac:dyDescent="0.35">
      <c r="F752" s="192" t="s">
        <v>2668</v>
      </c>
      <c r="G752" s="192" t="s">
        <v>2166</v>
      </c>
      <c r="H752" s="192" t="s">
        <v>64</v>
      </c>
      <c r="I752" s="192" t="s">
        <v>2293</v>
      </c>
      <c r="L752" s="192" t="s">
        <v>2545</v>
      </c>
      <c r="M752" s="192" t="s">
        <v>2545</v>
      </c>
      <c r="N752" s="192" t="s">
        <v>2520</v>
      </c>
      <c r="O752" s="192" t="s">
        <v>2550</v>
      </c>
      <c r="R752" s="189" t="s">
        <v>2667</v>
      </c>
      <c r="S752" s="189" t="s">
        <v>2244</v>
      </c>
      <c r="T752" s="189" t="s">
        <v>2242</v>
      </c>
      <c r="U752" s="189" t="s">
        <v>115</v>
      </c>
      <c r="V752" s="189" t="s">
        <v>2243</v>
      </c>
      <c r="W752" s="189" t="s">
        <v>2241</v>
      </c>
    </row>
    <row r="753" spans="2:23" x14ac:dyDescent="0.35">
      <c r="F753" s="144" t="s">
        <v>1834</v>
      </c>
      <c r="G753" s="144" t="s">
        <v>2162</v>
      </c>
      <c r="H753" s="144" t="s">
        <v>2167</v>
      </c>
      <c r="I753" s="144" t="s">
        <v>2294</v>
      </c>
      <c r="L753" s="144" t="s">
        <v>2546</v>
      </c>
      <c r="M753" s="144" t="s">
        <v>2547</v>
      </c>
      <c r="N753" s="144" t="s">
        <v>2548</v>
      </c>
      <c r="O753" s="144" t="s">
        <v>2546</v>
      </c>
      <c r="R753">
        <f>$E$304</f>
        <v>1</v>
      </c>
      <c r="S753" s="13">
        <f>$D$745</f>
        <v>2.2000000000000002</v>
      </c>
      <c r="T753" s="15">
        <f>D738</f>
        <v>1</v>
      </c>
      <c r="U753" s="12"/>
      <c r="V753" s="10">
        <v>0.02</v>
      </c>
      <c r="W753" s="13">
        <f>(T753*0.001)*V753/(S753*0.000001)</f>
        <v>9.0909090909090917</v>
      </c>
    </row>
    <row r="754" spans="2:23" x14ac:dyDescent="0.35">
      <c r="D754" t="str">
        <f>H738</f>
        <v>Processor sleeping</v>
      </c>
      <c r="F754">
        <f>D738</f>
        <v>1</v>
      </c>
      <c r="G754" s="15">
        <f>SUM(D736:D737)</f>
        <v>36.5</v>
      </c>
      <c r="H754" s="15">
        <f>G754*F754</f>
        <v>36.5</v>
      </c>
      <c r="I754" s="13">
        <f>H754*F754/1000</f>
        <v>3.6499999999999998E-2</v>
      </c>
      <c r="L754">
        <f>D743</f>
        <v>65</v>
      </c>
      <c r="M754">
        <f>-L754</f>
        <v>-65</v>
      </c>
      <c r="N754">
        <f>D742</f>
        <v>26</v>
      </c>
      <c r="O754">
        <f>N754-M754</f>
        <v>91</v>
      </c>
      <c r="R754">
        <f>$E$305</f>
        <v>4</v>
      </c>
      <c r="S754" s="13">
        <f>S753</f>
        <v>2.2000000000000002</v>
      </c>
      <c r="T754" s="15">
        <f>D739</f>
        <v>4</v>
      </c>
      <c r="U754" s="12"/>
      <c r="V754" s="10">
        <v>0.02</v>
      </c>
      <c r="W754" s="13">
        <f>(T754*0.001)*V754/(S754*0.000001)</f>
        <v>36.363636363636367</v>
      </c>
    </row>
    <row r="755" spans="2:23" x14ac:dyDescent="0.35">
      <c r="D755" t="str">
        <f>H739</f>
        <v>Typical operations</v>
      </c>
      <c r="F755">
        <f>D739</f>
        <v>4</v>
      </c>
      <c r="G755" s="15">
        <f>G754</f>
        <v>36.5</v>
      </c>
      <c r="H755" s="15">
        <f>G755*F755</f>
        <v>146</v>
      </c>
      <c r="I755" s="13">
        <f>H755*F755/1000</f>
        <v>0.58399999999999996</v>
      </c>
      <c r="R755">
        <f>$E$306</f>
        <v>16</v>
      </c>
      <c r="S755" s="13">
        <f>S753</f>
        <v>2.2000000000000002</v>
      </c>
      <c r="T755" s="15">
        <f>D740</f>
        <v>16</v>
      </c>
      <c r="U755" s="12"/>
      <c r="V755" s="10">
        <v>0.02</v>
      </c>
      <c r="W755" s="13">
        <f>(T755*0.001)*V755/(S755*0.000001)</f>
        <v>145.45454545454547</v>
      </c>
    </row>
    <row r="756" spans="2:23" x14ac:dyDescent="0.35">
      <c r="D756" t="str">
        <f>H740</f>
        <v>Maximum operations</v>
      </c>
      <c r="F756">
        <f>D740</f>
        <v>16</v>
      </c>
      <c r="G756" s="15">
        <f>G755</f>
        <v>36.5</v>
      </c>
      <c r="H756" s="15">
        <f>G756*F756</f>
        <v>584</v>
      </c>
      <c r="I756" s="13">
        <f>H756*F756/1000</f>
        <v>9.3439999999999994</v>
      </c>
      <c r="K756" s="13"/>
      <c r="S756" s="13"/>
      <c r="T756" s="15"/>
      <c r="U756" s="12"/>
      <c r="V756" s="10"/>
      <c r="W756" s="13"/>
    </row>
    <row r="757" spans="2:23" x14ac:dyDescent="0.35">
      <c r="G757" s="15"/>
      <c r="H757" s="15"/>
      <c r="I757" s="13"/>
      <c r="K757" s="13"/>
    </row>
    <row r="758" spans="2:23" x14ac:dyDescent="0.35">
      <c r="B758" s="83" t="s">
        <v>2192</v>
      </c>
      <c r="F758" s="192" t="s">
        <v>2668</v>
      </c>
      <c r="H758" s="192" t="s">
        <v>1831</v>
      </c>
      <c r="I758" s="193" t="s">
        <v>2197</v>
      </c>
      <c r="J758" s="192" t="s">
        <v>2191</v>
      </c>
      <c r="K758" s="192" t="s">
        <v>2186</v>
      </c>
      <c r="L758" s="192" t="s">
        <v>65</v>
      </c>
      <c r="N758" s="198" t="s">
        <v>1831</v>
      </c>
      <c r="O758" s="192" t="s">
        <v>2197</v>
      </c>
      <c r="P758" s="192" t="s">
        <v>2191</v>
      </c>
      <c r="Q758" s="192" t="s">
        <v>2186</v>
      </c>
      <c r="R758" s="192" t="s">
        <v>65</v>
      </c>
    </row>
    <row r="759" spans="2:23" x14ac:dyDescent="0.35">
      <c r="F759" s="144" t="s">
        <v>1834</v>
      </c>
      <c r="G759" s="4"/>
      <c r="H759" s="144" t="s">
        <v>39</v>
      </c>
      <c r="I759" s="194" t="s">
        <v>2190</v>
      </c>
      <c r="J759" s="144" t="s">
        <v>2190</v>
      </c>
      <c r="K759" s="144" t="s">
        <v>2199</v>
      </c>
      <c r="L759" s="144" t="s">
        <v>1225</v>
      </c>
      <c r="M759" s="4"/>
      <c r="N759" s="197" t="s">
        <v>39</v>
      </c>
      <c r="O759" s="144" t="s">
        <v>2190</v>
      </c>
      <c r="P759" s="144" t="s">
        <v>2190</v>
      </c>
      <c r="Q759" s="144" t="s">
        <v>2199</v>
      </c>
      <c r="R759" s="144" t="s">
        <v>1225</v>
      </c>
    </row>
    <row r="760" spans="2:23" x14ac:dyDescent="0.35">
      <c r="D760" t="str">
        <f>H738</f>
        <v>Processor sleeping</v>
      </c>
      <c r="F760">
        <f>$E$304</f>
        <v>1</v>
      </c>
      <c r="H760" s="15">
        <v>10</v>
      </c>
      <c r="I760" s="70">
        <f>H760*F760</f>
        <v>10</v>
      </c>
      <c r="J760" s="15">
        <f>$F760*$D$741</f>
        <v>5</v>
      </c>
      <c r="K760" s="17">
        <f>J760/I760</f>
        <v>0.5</v>
      </c>
      <c r="L760" s="9">
        <f>I760*$E$299</f>
        <v>1.3139999999999999E-2</v>
      </c>
      <c r="N760" s="195">
        <v>20</v>
      </c>
      <c r="O760">
        <f>N760*F760</f>
        <v>20</v>
      </c>
      <c r="P760" s="15">
        <f>$F760*$D$741</f>
        <v>5</v>
      </c>
      <c r="Q760" s="17">
        <f>P760/O760</f>
        <v>0.25</v>
      </c>
      <c r="R760" s="9">
        <f>O760*$E$299</f>
        <v>2.6279999999999998E-2</v>
      </c>
    </row>
    <row r="761" spans="2:23" x14ac:dyDescent="0.35">
      <c r="D761" t="str">
        <f>H739</f>
        <v>Typical operations</v>
      </c>
      <c r="F761">
        <f>$E$305</f>
        <v>4</v>
      </c>
      <c r="H761" s="15">
        <v>10</v>
      </c>
      <c r="I761" s="70">
        <f>H761*F761</f>
        <v>40</v>
      </c>
      <c r="J761" s="15">
        <f>$F761*$D$741</f>
        <v>20</v>
      </c>
      <c r="K761" s="17">
        <f>J761/I761</f>
        <v>0.5</v>
      </c>
      <c r="L761" s="9">
        <f>I761*$E$299</f>
        <v>5.2559999999999996E-2</v>
      </c>
      <c r="N761" s="196">
        <v>20</v>
      </c>
      <c r="O761">
        <f>N761*F761</f>
        <v>80</v>
      </c>
      <c r="P761" s="15">
        <f>$F761*$D$741</f>
        <v>20</v>
      </c>
      <c r="Q761" s="17">
        <f>P761/O761</f>
        <v>0.25</v>
      </c>
      <c r="R761" s="9">
        <f>O761*$E$299</f>
        <v>0.10511999999999999</v>
      </c>
    </row>
    <row r="762" spans="2:23" x14ac:dyDescent="0.35">
      <c r="D762" t="str">
        <f>H740</f>
        <v>Maximum operations</v>
      </c>
      <c r="F762">
        <f>$E$306</f>
        <v>16</v>
      </c>
      <c r="H762" s="15">
        <v>10</v>
      </c>
      <c r="I762" s="70">
        <f>H762*F762</f>
        <v>160</v>
      </c>
      <c r="J762" s="15">
        <f>$F762*$D$741</f>
        <v>80</v>
      </c>
      <c r="K762" s="17">
        <f>J762/I762</f>
        <v>0.5</v>
      </c>
      <c r="L762" s="9">
        <f>I762*$E$299</f>
        <v>0.21023999999999998</v>
      </c>
      <c r="N762" s="196">
        <v>20</v>
      </c>
      <c r="O762">
        <f>N762*F762</f>
        <v>320</v>
      </c>
      <c r="P762" s="15">
        <f>$F762*$D$741</f>
        <v>80</v>
      </c>
      <c r="Q762" s="17">
        <f>P762/O762</f>
        <v>0.25</v>
      </c>
      <c r="R762" s="9">
        <f>O762*$E$299</f>
        <v>0.42047999999999996</v>
      </c>
    </row>
    <row r="763" spans="2:23" x14ac:dyDescent="0.35">
      <c r="F763" s="13"/>
      <c r="G763" s="12"/>
      <c r="I763" s="15"/>
      <c r="J763" s="15"/>
      <c r="K763" s="13"/>
    </row>
    <row r="764" spans="2:23" x14ac:dyDescent="0.35">
      <c r="B764" s="83" t="s">
        <v>1842</v>
      </c>
      <c r="D764" s="83"/>
      <c r="F764" s="190">
        <f>SUMPRODUCT(F766:F778,G766:G778)</f>
        <v>0.55000000000000004</v>
      </c>
      <c r="J764" s="191">
        <f>SUMPRODUCT(J766:J778,G766:G778)</f>
        <v>121.26000000000002</v>
      </c>
    </row>
    <row r="765" spans="2:23" x14ac:dyDescent="0.35">
      <c r="D765" s="83"/>
      <c r="F765" s="189" t="s">
        <v>1263</v>
      </c>
      <c r="G765" s="189" t="s">
        <v>2310</v>
      </c>
      <c r="H765" s="189" t="s">
        <v>2120</v>
      </c>
      <c r="I765" s="189" t="s">
        <v>2121</v>
      </c>
      <c r="J765" s="189" t="s">
        <v>2138</v>
      </c>
    </row>
    <row r="766" spans="2:23" x14ac:dyDescent="0.35">
      <c r="D766" s="95" t="s">
        <v>229</v>
      </c>
      <c r="F766" s="186">
        <v>0.03</v>
      </c>
      <c r="G766">
        <v>1</v>
      </c>
      <c r="H766">
        <v>9</v>
      </c>
      <c r="I766">
        <v>3</v>
      </c>
      <c r="J766" s="15">
        <f>I766*H766</f>
        <v>27</v>
      </c>
      <c r="L766" t="s">
        <v>2233</v>
      </c>
      <c r="V766" s="1" t="s">
        <v>2232</v>
      </c>
    </row>
    <row r="767" spans="2:23" x14ac:dyDescent="0.35">
      <c r="D767" s="95"/>
      <c r="F767" s="186">
        <v>0.09</v>
      </c>
      <c r="G767">
        <v>1</v>
      </c>
      <c r="H767">
        <v>10</v>
      </c>
      <c r="I767">
        <v>4</v>
      </c>
      <c r="J767" s="15">
        <f>I767*H767</f>
        <v>40</v>
      </c>
      <c r="L767" s="186" t="s">
        <v>2544</v>
      </c>
    </row>
    <row r="768" spans="2:23" x14ac:dyDescent="0.35">
      <c r="D768" s="95"/>
      <c r="F768" s="186">
        <v>0.02</v>
      </c>
      <c r="G768">
        <v>1</v>
      </c>
      <c r="H768">
        <v>3</v>
      </c>
      <c r="I768">
        <v>2.4</v>
      </c>
      <c r="J768" s="15">
        <f>I768*H768</f>
        <v>7.1999999999999993</v>
      </c>
      <c r="L768" t="s">
        <v>2142</v>
      </c>
    </row>
    <row r="769" spans="1:26" x14ac:dyDescent="0.35">
      <c r="D769" s="95"/>
      <c r="J769" s="15"/>
    </row>
    <row r="770" spans="1:26" x14ac:dyDescent="0.35">
      <c r="D770" s="95" t="s">
        <v>2118</v>
      </c>
      <c r="F770" s="186">
        <v>0.04</v>
      </c>
      <c r="G770">
        <v>1</v>
      </c>
      <c r="H770" s="13">
        <v>3.2</v>
      </c>
      <c r="I770">
        <v>1.6</v>
      </c>
      <c r="J770" s="15">
        <f>I770*H770</f>
        <v>5.120000000000001</v>
      </c>
      <c r="L770" t="s">
        <v>2119</v>
      </c>
      <c r="W770" s="205" t="s">
        <v>2396</v>
      </c>
      <c r="X770" s="205" t="s">
        <v>2395</v>
      </c>
      <c r="Y770" s="205" t="s">
        <v>2394</v>
      </c>
      <c r="Z770" s="205" t="s">
        <v>2397</v>
      </c>
    </row>
    <row r="771" spans="1:26" x14ac:dyDescent="0.35">
      <c r="D771" s="95"/>
      <c r="F771" s="186">
        <v>0.1</v>
      </c>
      <c r="G771">
        <v>1</v>
      </c>
      <c r="H771" s="13">
        <v>3.2</v>
      </c>
      <c r="I771">
        <v>2.5</v>
      </c>
      <c r="J771" s="15">
        <f>I771*H771</f>
        <v>8</v>
      </c>
      <c r="L771" t="s">
        <v>2406</v>
      </c>
      <c r="W771">
        <v>13</v>
      </c>
      <c r="X771">
        <v>1000</v>
      </c>
      <c r="Y771">
        <v>2.2000000000000002</v>
      </c>
      <c r="Z771" s="20">
        <f>(1/(6.28*SQRT(X771*0.000001*Y771*0.000001)))</f>
        <v>3394.915865535198</v>
      </c>
    </row>
    <row r="772" spans="1:26" x14ac:dyDescent="0.35">
      <c r="D772" s="95"/>
      <c r="J772" s="15"/>
    </row>
    <row r="773" spans="1:26" x14ac:dyDescent="0.35">
      <c r="D773" s="95" t="s">
        <v>2610</v>
      </c>
      <c r="F773" s="186">
        <v>0.04</v>
      </c>
      <c r="G773">
        <v>1</v>
      </c>
      <c r="H773" s="13">
        <v>3.2</v>
      </c>
      <c r="I773">
        <v>1.6</v>
      </c>
      <c r="J773" s="15">
        <f>I773*H773</f>
        <v>5.120000000000001</v>
      </c>
      <c r="L773" t="s">
        <v>2119</v>
      </c>
    </row>
    <row r="774" spans="1:26" x14ac:dyDescent="0.35">
      <c r="D774" s="95"/>
      <c r="F774" s="186"/>
      <c r="H774" s="13"/>
      <c r="J774" s="15"/>
    </row>
    <row r="775" spans="1:26" x14ac:dyDescent="0.35">
      <c r="D775" s="95" t="s">
        <v>2133</v>
      </c>
      <c r="F775" s="186">
        <v>0.12</v>
      </c>
      <c r="G775">
        <v>1</v>
      </c>
      <c r="H775" s="13">
        <v>4.5</v>
      </c>
      <c r="I775">
        <v>4.2</v>
      </c>
      <c r="J775" s="15">
        <f>I775*H775</f>
        <v>18.900000000000002</v>
      </c>
      <c r="L775" t="s">
        <v>2137</v>
      </c>
      <c r="V775" s="1" t="s">
        <v>2187</v>
      </c>
    </row>
    <row r="776" spans="1:26" x14ac:dyDescent="0.35">
      <c r="D776" s="95"/>
      <c r="F776" s="186"/>
      <c r="H776" s="13"/>
      <c r="J776" s="15"/>
      <c r="V776" s="1"/>
    </row>
    <row r="777" spans="1:26" x14ac:dyDescent="0.35">
      <c r="D777" s="95" t="s">
        <v>2185</v>
      </c>
      <c r="F777" s="186">
        <v>0.05</v>
      </c>
      <c r="G777">
        <v>1</v>
      </c>
      <c r="H777" s="13">
        <v>3.2</v>
      </c>
      <c r="I777">
        <v>1.6</v>
      </c>
      <c r="J777" s="15">
        <f>I777*H777</f>
        <v>5.120000000000001</v>
      </c>
      <c r="L777" t="s">
        <v>2618</v>
      </c>
      <c r="O777" s="1"/>
    </row>
    <row r="778" spans="1:26" x14ac:dyDescent="0.35">
      <c r="D778" s="186"/>
      <c r="E778" s="13"/>
      <c r="F778" s="186">
        <v>0.03</v>
      </c>
      <c r="G778">
        <v>2</v>
      </c>
      <c r="H778" s="13">
        <v>2</v>
      </c>
      <c r="I778">
        <v>1.2</v>
      </c>
      <c r="J778" s="15">
        <f>I778*H778</f>
        <v>2.4</v>
      </c>
      <c r="L778" t="s">
        <v>2476</v>
      </c>
    </row>
    <row r="779" spans="1:26" x14ac:dyDescent="0.35">
      <c r="D779" s="186"/>
      <c r="E779" s="13"/>
      <c r="F779" s="186"/>
      <c r="H779" s="13"/>
      <c r="J779" s="15"/>
    </row>
    <row r="780" spans="1:26" s="5" customFormat="1" x14ac:dyDescent="0.35">
      <c r="A780" s="86" t="s">
        <v>2647</v>
      </c>
      <c r="B780" s="84"/>
    </row>
    <row r="781" spans="1:26" x14ac:dyDescent="0.35">
      <c r="D781" s="186"/>
      <c r="E781" s="13"/>
      <c r="L781" s="1"/>
    </row>
    <row r="782" spans="1:26" x14ac:dyDescent="0.35">
      <c r="B782" s="83" t="s">
        <v>99</v>
      </c>
      <c r="D782" t="s">
        <v>2158</v>
      </c>
      <c r="F782" t="s">
        <v>2159</v>
      </c>
    </row>
    <row r="783" spans="1:26" x14ac:dyDescent="0.35">
      <c r="D783" t="s">
        <v>2157</v>
      </c>
      <c r="F783" t="s">
        <v>2646</v>
      </c>
    </row>
    <row r="784" spans="1:26" x14ac:dyDescent="0.35">
      <c r="D784" t="s">
        <v>2161</v>
      </c>
      <c r="F784" t="s">
        <v>2631</v>
      </c>
    </row>
    <row r="785" spans="2:8" x14ac:dyDescent="0.35">
      <c r="D785" t="s">
        <v>2160</v>
      </c>
      <c r="F785" t="s">
        <v>2337</v>
      </c>
    </row>
    <row r="786" spans="2:8" x14ac:dyDescent="0.35">
      <c r="D786" t="s">
        <v>2169</v>
      </c>
      <c r="F786" s="186">
        <f>F833</f>
        <v>1.7300000000000002</v>
      </c>
    </row>
    <row r="787" spans="2:8" x14ac:dyDescent="0.35">
      <c r="D787" t="s">
        <v>2170</v>
      </c>
      <c r="F787" s="48">
        <f>J833</f>
        <v>133.80000000000001</v>
      </c>
    </row>
    <row r="788" spans="2:8" x14ac:dyDescent="0.35">
      <c r="D788" t="s">
        <v>2271</v>
      </c>
      <c r="F788" s="12">
        <f>F787*$E$301*$E$302</f>
        <v>0.41478000000000004</v>
      </c>
    </row>
    <row r="790" spans="2:8" x14ac:dyDescent="0.35">
      <c r="B790" s="83" t="s">
        <v>2076</v>
      </c>
      <c r="D790">
        <v>100</v>
      </c>
      <c r="E790" t="s">
        <v>40</v>
      </c>
      <c r="F790" t="s">
        <v>2164</v>
      </c>
    </row>
    <row r="791" spans="2:8" x14ac:dyDescent="0.35">
      <c r="D791">
        <v>3.5</v>
      </c>
      <c r="E791" t="s">
        <v>40</v>
      </c>
      <c r="F791" t="s">
        <v>2165</v>
      </c>
    </row>
    <row r="792" spans="2:8" x14ac:dyDescent="0.35">
      <c r="D792">
        <f>SUM(D790:D791)</f>
        <v>103.5</v>
      </c>
      <c r="E792" t="s">
        <v>40</v>
      </c>
      <c r="F792" t="s">
        <v>2323</v>
      </c>
    </row>
    <row r="793" spans="2:8" x14ac:dyDescent="0.35">
      <c r="D793">
        <v>1</v>
      </c>
      <c r="E793" t="s">
        <v>1837</v>
      </c>
      <c r="F793" t="s">
        <v>2533</v>
      </c>
    </row>
    <row r="794" spans="2:8" x14ac:dyDescent="0.35">
      <c r="D794">
        <f>$E$304</f>
        <v>1</v>
      </c>
      <c r="E794" t="s">
        <v>1834</v>
      </c>
      <c r="F794" t="s">
        <v>2171</v>
      </c>
      <c r="H794" t="s">
        <v>2194</v>
      </c>
    </row>
    <row r="795" spans="2:8" x14ac:dyDescent="0.35">
      <c r="D795">
        <f>$E$305</f>
        <v>4</v>
      </c>
      <c r="E795" t="s">
        <v>1834</v>
      </c>
      <c r="H795" t="s">
        <v>2195</v>
      </c>
    </row>
    <row r="796" spans="2:8" x14ac:dyDescent="0.35">
      <c r="D796">
        <f>$E$306</f>
        <v>16</v>
      </c>
      <c r="E796" t="s">
        <v>1834</v>
      </c>
      <c r="H796" t="s">
        <v>2196</v>
      </c>
    </row>
    <row r="797" spans="2:8" x14ac:dyDescent="0.35">
      <c r="D797">
        <v>56</v>
      </c>
      <c r="E797" t="s">
        <v>1441</v>
      </c>
      <c r="F797" t="s">
        <v>2178</v>
      </c>
    </row>
    <row r="798" spans="2:8" x14ac:dyDescent="0.35">
      <c r="D798">
        <v>135</v>
      </c>
      <c r="E798" t="s">
        <v>1441</v>
      </c>
      <c r="F798" t="s">
        <v>2551</v>
      </c>
    </row>
    <row r="799" spans="2:8" x14ac:dyDescent="0.35">
      <c r="D799">
        <v>5</v>
      </c>
      <c r="E799" t="s">
        <v>39</v>
      </c>
      <c r="F799" t="s">
        <v>2302</v>
      </c>
    </row>
    <row r="800" spans="2:8" x14ac:dyDescent="0.35">
      <c r="D800">
        <v>0.02</v>
      </c>
      <c r="E800" t="s">
        <v>1834</v>
      </c>
      <c r="F800" t="s">
        <v>2198</v>
      </c>
    </row>
    <row r="801" spans="2:6" x14ac:dyDescent="0.35">
      <c r="D801">
        <v>1</v>
      </c>
      <c r="E801" t="s">
        <v>1837</v>
      </c>
      <c r="F801" t="s">
        <v>2648</v>
      </c>
    </row>
    <row r="803" spans="2:6" x14ac:dyDescent="0.35">
      <c r="B803" s="83" t="s">
        <v>1909</v>
      </c>
    </row>
    <row r="817" spans="2:30" x14ac:dyDescent="0.35">
      <c r="B817" s="83" t="s">
        <v>2192</v>
      </c>
      <c r="F817" s="192" t="s">
        <v>2668</v>
      </c>
      <c r="H817" s="192" t="s">
        <v>1831</v>
      </c>
      <c r="I817" s="193" t="s">
        <v>2197</v>
      </c>
      <c r="J817" s="192" t="s">
        <v>2321</v>
      </c>
      <c r="K817" s="192" t="s">
        <v>2321</v>
      </c>
      <c r="L817" s="192" t="s">
        <v>2191</v>
      </c>
      <c r="M817" s="199" t="s">
        <v>2200</v>
      </c>
      <c r="N817" s="192" t="s">
        <v>2186</v>
      </c>
      <c r="O817" s="192" t="s">
        <v>65</v>
      </c>
      <c r="Q817" s="198" t="s">
        <v>1831</v>
      </c>
      <c r="R817" s="192" t="s">
        <v>2197</v>
      </c>
      <c r="S817" s="192" t="s">
        <v>2321</v>
      </c>
      <c r="T817" s="192" t="s">
        <v>2321</v>
      </c>
      <c r="U817" s="192" t="s">
        <v>2191</v>
      </c>
      <c r="V817" s="199" t="s">
        <v>2200</v>
      </c>
      <c r="W817" s="192" t="s">
        <v>2186</v>
      </c>
      <c r="X817" s="192" t="s">
        <v>65</v>
      </c>
    </row>
    <row r="818" spans="2:30" x14ac:dyDescent="0.35">
      <c r="F818" s="144" t="s">
        <v>2645</v>
      </c>
      <c r="G818" s="4"/>
      <c r="H818" s="144" t="s">
        <v>39</v>
      </c>
      <c r="I818" s="194" t="s">
        <v>2190</v>
      </c>
      <c r="J818" s="144" t="s">
        <v>2322</v>
      </c>
      <c r="K818" s="144" t="s">
        <v>2190</v>
      </c>
      <c r="L818" s="144" t="s">
        <v>2190</v>
      </c>
      <c r="M818" s="200" t="s">
        <v>2201</v>
      </c>
      <c r="N818" s="144" t="s">
        <v>2199</v>
      </c>
      <c r="O818" s="144" t="s">
        <v>1225</v>
      </c>
      <c r="P818" s="4"/>
      <c r="Q818" s="197" t="s">
        <v>39</v>
      </c>
      <c r="R818" s="144" t="s">
        <v>2190</v>
      </c>
      <c r="S818" s="144" t="s">
        <v>2322</v>
      </c>
      <c r="T818" s="144" t="s">
        <v>2190</v>
      </c>
      <c r="U818" s="144" t="s">
        <v>2190</v>
      </c>
      <c r="V818" s="200" t="s">
        <v>2201</v>
      </c>
      <c r="W818" s="144" t="s">
        <v>2199</v>
      </c>
      <c r="X818" s="144" t="s">
        <v>1225</v>
      </c>
    </row>
    <row r="819" spans="2:30" x14ac:dyDescent="0.35">
      <c r="D819" t="str">
        <f>H794</f>
        <v>Processor sleeping</v>
      </c>
      <c r="F819">
        <f>$E$304</f>
        <v>1</v>
      </c>
      <c r="H819" s="195">
        <v>10</v>
      </c>
      <c r="I819" s="203">
        <f>((J819*0.001)^2*$D$792)*1000 +K819</f>
        <v>6.8978701444923995</v>
      </c>
      <c r="J819" s="12">
        <f>K819/H819</f>
        <v>0.68493150684931503</v>
      </c>
      <c r="K819" s="15">
        <f>L819/M819</f>
        <v>6.8493150684931505</v>
      </c>
      <c r="L819" s="15">
        <f>$F819*$D$799</f>
        <v>5</v>
      </c>
      <c r="M819" s="17">
        <v>0.73</v>
      </c>
      <c r="N819" s="17">
        <f>L819/I819</f>
        <v>0.72486142755126337</v>
      </c>
      <c r="O819" s="9">
        <f>I819*$E$299</f>
        <v>9.0638013698630115E-3</v>
      </c>
      <c r="Q819" s="195">
        <v>48</v>
      </c>
      <c r="R819" s="13">
        <f>((S819*0.001)^2*$D$792)*1000 +T819</f>
        <v>8.3364529079861125</v>
      </c>
      <c r="S819" s="12">
        <f>T819/Q819</f>
        <v>0.17361111111111113</v>
      </c>
      <c r="T819" s="15">
        <f>U819/V819</f>
        <v>8.3333333333333339</v>
      </c>
      <c r="U819" s="15">
        <f>$F819*$D$799</f>
        <v>5</v>
      </c>
      <c r="V819" s="53">
        <v>0.6</v>
      </c>
      <c r="W819" s="17">
        <f>U819/R819</f>
        <v>0.59977547467582115</v>
      </c>
      <c r="X819" s="9">
        <f>R819*$E$299</f>
        <v>1.095409912109375E-2</v>
      </c>
    </row>
    <row r="820" spans="2:30" x14ac:dyDescent="0.35">
      <c r="D820" t="str">
        <f>H795</f>
        <v>Typical operations</v>
      </c>
      <c r="F820">
        <f>$E$305</f>
        <v>4</v>
      </c>
      <c r="H820" s="196">
        <v>10</v>
      </c>
      <c r="I820" s="204">
        <f>((J820*0.001)^2*$D$792)*1000 +K820</f>
        <v>26.321499013806704</v>
      </c>
      <c r="J820" s="12">
        <f>K820/H820</f>
        <v>2.5641025641025639</v>
      </c>
      <c r="K820" s="15">
        <f>L820/M820</f>
        <v>25.641025641025639</v>
      </c>
      <c r="L820" s="15">
        <f>$F820*$D$799</f>
        <v>20</v>
      </c>
      <c r="M820" s="17">
        <v>0.78</v>
      </c>
      <c r="N820" s="17">
        <f>L820/I820</f>
        <v>0.7598351442487824</v>
      </c>
      <c r="O820" s="9">
        <f>I820*$E$299</f>
        <v>3.4586449704142007E-2</v>
      </c>
      <c r="Q820" s="196">
        <v>48</v>
      </c>
      <c r="R820" s="13">
        <f>((S820*0.001)^2*$D$792)*1000 +T820</f>
        <v>28.608099489795919</v>
      </c>
      <c r="S820" s="12">
        <f>T820/Q820</f>
        <v>0.59523809523809523</v>
      </c>
      <c r="T820" s="15">
        <f>U820/V820</f>
        <v>28.571428571428573</v>
      </c>
      <c r="U820" s="15">
        <f>$F820*$D$799</f>
        <v>20</v>
      </c>
      <c r="V820" s="53">
        <v>0.7</v>
      </c>
      <c r="W820" s="17">
        <f>U820/R820</f>
        <v>0.69910271415036507</v>
      </c>
      <c r="X820" s="9">
        <f>R820*$E$299</f>
        <v>3.759104272959183E-2</v>
      </c>
    </row>
    <row r="821" spans="2:30" x14ac:dyDescent="0.35">
      <c r="D821" t="str">
        <f>H796</f>
        <v>Maximum operations</v>
      </c>
      <c r="F821">
        <f>$E$306</f>
        <v>16</v>
      </c>
      <c r="H821" s="196">
        <v>10</v>
      </c>
      <c r="I821" s="204">
        <f>((J821*0.001)^2*$D$792)*1000 +K821</f>
        <v>107.41225461035098</v>
      </c>
      <c r="J821" s="12">
        <f>K821/H821</f>
        <v>9.7560975609756095</v>
      </c>
      <c r="K821" s="15">
        <f>L821/M821</f>
        <v>97.560975609756099</v>
      </c>
      <c r="L821" s="15">
        <f>$F821*$D$799</f>
        <v>80</v>
      </c>
      <c r="M821" s="17">
        <v>0.82</v>
      </c>
      <c r="N821" s="17">
        <f>L821/I821</f>
        <v>0.74479397430217098</v>
      </c>
      <c r="O821" s="9">
        <f>I821*$E$299</f>
        <v>0.14113970255800118</v>
      </c>
      <c r="Q821" s="196">
        <v>48</v>
      </c>
      <c r="R821" s="13">
        <f>((S821*0.001)^2*$D$792)*1000 +T821</f>
        <v>100.44921875</v>
      </c>
      <c r="S821" s="12">
        <f>T821/Q821</f>
        <v>2.0833333333333335</v>
      </c>
      <c r="T821" s="15">
        <f>U821/V821</f>
        <v>100</v>
      </c>
      <c r="U821" s="15">
        <f>$F821*$D$799</f>
        <v>80</v>
      </c>
      <c r="V821" s="53">
        <v>0.8</v>
      </c>
      <c r="W821" s="17">
        <f>U821/R821</f>
        <v>0.79642232160217774</v>
      </c>
      <c r="X821" s="9">
        <f>R821*$E$299</f>
        <v>0.13199027343749997</v>
      </c>
    </row>
    <row r="822" spans="2:30" x14ac:dyDescent="0.35">
      <c r="H822" s="15"/>
      <c r="I822" s="202"/>
      <c r="J822" s="12"/>
      <c r="K822" s="15"/>
      <c r="L822" s="15"/>
      <c r="M822" s="17"/>
      <c r="N822" s="17"/>
      <c r="O822" s="9"/>
      <c r="Q822" s="202"/>
      <c r="R822" s="15"/>
      <c r="S822" s="12"/>
      <c r="T822" s="15"/>
      <c r="U822" s="15"/>
      <c r="V822" s="53"/>
      <c r="W822" s="17"/>
      <c r="X822" s="9"/>
    </row>
    <row r="823" spans="2:30" x14ac:dyDescent="0.35">
      <c r="B823" s="83" t="s">
        <v>2292</v>
      </c>
      <c r="L823" s="83" t="s">
        <v>2532</v>
      </c>
      <c r="S823" s="83" t="s">
        <v>2538</v>
      </c>
    </row>
    <row r="824" spans="2:30" x14ac:dyDescent="0.35">
      <c r="F824" s="192" t="s">
        <v>2668</v>
      </c>
      <c r="G824" s="192" t="s">
        <v>2517</v>
      </c>
      <c r="H824" s="192" t="s">
        <v>2166</v>
      </c>
      <c r="I824" s="192" t="s">
        <v>64</v>
      </c>
      <c r="J824" s="192" t="s">
        <v>2293</v>
      </c>
      <c r="M824" s="192" t="s">
        <v>2500</v>
      </c>
      <c r="N824" s="192" t="s">
        <v>2446</v>
      </c>
      <c r="O824" s="192" t="s">
        <v>2446</v>
      </c>
      <c r="P824" s="192" t="s">
        <v>2446</v>
      </c>
      <c r="S824" s="192" t="s">
        <v>2446</v>
      </c>
      <c r="T824" s="192" t="s">
        <v>2534</v>
      </c>
      <c r="U824" s="192" t="s">
        <v>2536</v>
      </c>
      <c r="V824" s="192" t="s">
        <v>2536</v>
      </c>
    </row>
    <row r="825" spans="2:30" x14ac:dyDescent="0.35">
      <c r="F825" s="144" t="s">
        <v>2645</v>
      </c>
      <c r="G825" s="144" t="s">
        <v>2531</v>
      </c>
      <c r="H825" s="144" t="s">
        <v>2162</v>
      </c>
      <c r="I825" s="144" t="s">
        <v>2167</v>
      </c>
      <c r="J825" s="144" t="s">
        <v>2294</v>
      </c>
      <c r="M825" s="144" t="s">
        <v>2447</v>
      </c>
      <c r="N825" s="144" t="s">
        <v>2162</v>
      </c>
      <c r="O825" s="144" t="s">
        <v>2448</v>
      </c>
      <c r="P825" s="144" t="s">
        <v>2449</v>
      </c>
      <c r="S825" s="144" t="s">
        <v>2162</v>
      </c>
      <c r="T825" s="144" t="s">
        <v>2535</v>
      </c>
      <c r="U825" s="144" t="s">
        <v>2537</v>
      </c>
      <c r="V825" s="144" t="s">
        <v>2397</v>
      </c>
    </row>
    <row r="826" spans="2:30" x14ac:dyDescent="0.35">
      <c r="D826" t="str">
        <f>H794</f>
        <v>Processor sleeping</v>
      </c>
      <c r="F826">
        <f>$E$304</f>
        <v>1</v>
      </c>
      <c r="G826" s="12">
        <f>S819</f>
        <v>0.17361111111111113</v>
      </c>
      <c r="H826" s="15">
        <f xml:space="preserve"> D792</f>
        <v>103.5</v>
      </c>
      <c r="I826" s="15">
        <f>H826*G826</f>
        <v>17.968750000000004</v>
      </c>
      <c r="J826" s="12">
        <f>I826*(G826*0.001)</f>
        <v>3.1195746527777788E-3</v>
      </c>
      <c r="M826" s="15">
        <v>30</v>
      </c>
      <c r="N826" s="13">
        <f>D790</f>
        <v>100</v>
      </c>
      <c r="O826" s="10">
        <f>M826/N826</f>
        <v>0.3</v>
      </c>
      <c r="P826" s="10">
        <f>M826*O826</f>
        <v>9</v>
      </c>
      <c r="S826" s="15">
        <f>D790</f>
        <v>100</v>
      </c>
      <c r="T826" s="13">
        <f>D793</f>
        <v>1</v>
      </c>
      <c r="U826" s="10">
        <f>S826*T826</f>
        <v>100</v>
      </c>
      <c r="V826" s="15">
        <f>1/(6*U826*0.000001)</f>
        <v>1666.6666666666667</v>
      </c>
    </row>
    <row r="827" spans="2:30" x14ac:dyDescent="0.35">
      <c r="D827" t="str">
        <f>H795</f>
        <v>Typical operations</v>
      </c>
      <c r="F827">
        <f>$E$305</f>
        <v>4</v>
      </c>
      <c r="G827" s="12">
        <f>S820</f>
        <v>0.59523809523809523</v>
      </c>
      <c r="H827" s="15">
        <f>H826</f>
        <v>103.5</v>
      </c>
      <c r="I827" s="15">
        <f>H827*G827</f>
        <v>61.607142857142854</v>
      </c>
      <c r="J827" s="12">
        <f>I827*G827/1000</f>
        <v>3.6670918367346934E-2</v>
      </c>
      <c r="M827" s="15">
        <v>10</v>
      </c>
      <c r="N827" s="13">
        <f>N$826</f>
        <v>100</v>
      </c>
      <c r="O827" s="10">
        <f>M827/N827</f>
        <v>0.1</v>
      </c>
      <c r="P827" s="10">
        <f>M827*O827</f>
        <v>1</v>
      </c>
    </row>
    <row r="828" spans="2:30" x14ac:dyDescent="0.35">
      <c r="D828" t="str">
        <f>H796</f>
        <v>Maximum operations</v>
      </c>
      <c r="E828" s="12"/>
      <c r="F828">
        <f>$E$306</f>
        <v>16</v>
      </c>
      <c r="G828" s="12">
        <f>S821</f>
        <v>2.0833333333333335</v>
      </c>
      <c r="H828" s="15">
        <f>H827</f>
        <v>103.5</v>
      </c>
      <c r="I828" s="15">
        <f>H828*G828</f>
        <v>215.62500000000003</v>
      </c>
      <c r="J828" s="12">
        <f>I828*G828/1000</f>
        <v>0.44921875000000011</v>
      </c>
      <c r="K828" s="13"/>
      <c r="M828" s="15">
        <v>1</v>
      </c>
      <c r="N828" s="13">
        <f>N$826</f>
        <v>100</v>
      </c>
      <c r="O828" s="10">
        <f>M828/N828</f>
        <v>0.01</v>
      </c>
      <c r="P828" s="10">
        <f>M828*O828</f>
        <v>0.01</v>
      </c>
      <c r="S828" s="83" t="s">
        <v>2549</v>
      </c>
      <c r="X828" s="83" t="s">
        <v>2709</v>
      </c>
      <c r="Y828" s="12"/>
      <c r="AA828" s="15"/>
      <c r="AB828" s="15"/>
      <c r="AC828" s="13"/>
    </row>
    <row r="829" spans="2:30" x14ac:dyDescent="0.35">
      <c r="F829" s="13"/>
      <c r="G829" s="12"/>
      <c r="I829" s="15"/>
      <c r="J829" s="15"/>
      <c r="K829" s="13"/>
      <c r="S829" s="192" t="s">
        <v>2545</v>
      </c>
      <c r="T829" s="192" t="s">
        <v>2545</v>
      </c>
      <c r="U829" s="192" t="s">
        <v>2518</v>
      </c>
      <c r="V829" s="192" t="s">
        <v>2550</v>
      </c>
      <c r="Y829" s="189" t="s">
        <v>2667</v>
      </c>
      <c r="Z829" s="189" t="s">
        <v>2244</v>
      </c>
      <c r="AA829" s="189" t="s">
        <v>2242</v>
      </c>
      <c r="AB829" s="189" t="s">
        <v>115</v>
      </c>
      <c r="AC829" s="189" t="s">
        <v>2243</v>
      </c>
      <c r="AD829" s="189" t="s">
        <v>2241</v>
      </c>
    </row>
    <row r="830" spans="2:30" x14ac:dyDescent="0.35">
      <c r="B830" s="83" t="s">
        <v>1909</v>
      </c>
      <c r="F830" s="13"/>
      <c r="G830" s="12"/>
      <c r="I830" s="15"/>
      <c r="J830" s="15"/>
      <c r="K830" s="13"/>
      <c r="S830" s="144" t="s">
        <v>2546</v>
      </c>
      <c r="T830" s="144" t="s">
        <v>2547</v>
      </c>
      <c r="U830" s="144" t="s">
        <v>2548</v>
      </c>
      <c r="V830" s="144" t="s">
        <v>2546</v>
      </c>
      <c r="Y830">
        <f>$E$304</f>
        <v>1</v>
      </c>
      <c r="Z830" s="13">
        <f>D$801</f>
        <v>1</v>
      </c>
      <c r="AA830" s="12">
        <f>J819</f>
        <v>0.68493150684931503</v>
      </c>
      <c r="AB830" s="12"/>
      <c r="AC830" s="10">
        <v>1E-3</v>
      </c>
      <c r="AD830" s="13">
        <f>(AA830*0.001)*AC830/(Z830*0.000001)</f>
        <v>0.68493150684931514</v>
      </c>
    </row>
    <row r="831" spans="2:30" x14ac:dyDescent="0.35">
      <c r="D831" t="s">
        <v>2180</v>
      </c>
      <c r="F831" s="13"/>
      <c r="G831" s="15">
        <f>1000000*D797*0.00000012/(D796*0.001)</f>
        <v>420</v>
      </c>
      <c r="H831" t="s">
        <v>2179</v>
      </c>
      <c r="I831" s="15"/>
      <c r="J831" s="15"/>
      <c r="K831" t="s">
        <v>2329</v>
      </c>
      <c r="L831" t="s">
        <v>2181</v>
      </c>
      <c r="S831">
        <f>D798</f>
        <v>135</v>
      </c>
      <c r="T831">
        <f>-S831</f>
        <v>-135</v>
      </c>
      <c r="U831">
        <f>D797</f>
        <v>56</v>
      </c>
      <c r="V831">
        <f>U831-T831</f>
        <v>191</v>
      </c>
      <c r="Y831">
        <f>$E$305</f>
        <v>4</v>
      </c>
      <c r="Z831" s="13">
        <f>D$801</f>
        <v>1</v>
      </c>
      <c r="AA831" s="12">
        <f>G827</f>
        <v>0.59523809523809523</v>
      </c>
      <c r="AB831" s="12"/>
      <c r="AC831" s="10">
        <v>1E-3</v>
      </c>
      <c r="AD831" s="13">
        <f>(AA831*0.001)*AC831/(Z831*0.000001)</f>
        <v>0.59523809523809534</v>
      </c>
    </row>
    <row r="832" spans="2:30" x14ac:dyDescent="0.35">
      <c r="D832" s="186"/>
      <c r="E832" s="13"/>
      <c r="G832" s="15"/>
      <c r="L832" s="1"/>
      <c r="Y832">
        <f>$E$306</f>
        <v>16</v>
      </c>
      <c r="Z832" s="13">
        <f>D$801</f>
        <v>1</v>
      </c>
      <c r="AA832" s="12">
        <f>G828</f>
        <v>2.0833333333333335</v>
      </c>
      <c r="AB832" s="12"/>
      <c r="AC832" s="10">
        <v>1E-3</v>
      </c>
      <c r="AD832" s="13">
        <f>(AA832*0.001)*AC832/(Z832*0.000001)</f>
        <v>2.0833333333333339</v>
      </c>
    </row>
    <row r="833" spans="2:26" x14ac:dyDescent="0.35">
      <c r="B833" s="83" t="s">
        <v>1842</v>
      </c>
      <c r="D833" s="83"/>
      <c r="F833" s="190">
        <f>SUMPRODUCT(F835:F849,G835:G849)</f>
        <v>1.7300000000000002</v>
      </c>
      <c r="J833" s="191">
        <f>SUMPRODUCT(J835:J849,G835:G849)</f>
        <v>133.80000000000001</v>
      </c>
      <c r="O833" s="1"/>
    </row>
    <row r="834" spans="2:26" x14ac:dyDescent="0.35">
      <c r="D834" s="83"/>
      <c r="F834" s="189" t="s">
        <v>1263</v>
      </c>
      <c r="G834" s="189" t="s">
        <v>2310</v>
      </c>
      <c r="H834" s="189" t="s">
        <v>2120</v>
      </c>
      <c r="I834" s="189" t="s">
        <v>2121</v>
      </c>
      <c r="J834" s="189" t="s">
        <v>2138</v>
      </c>
      <c r="O834" s="1"/>
    </row>
    <row r="835" spans="2:26" x14ac:dyDescent="0.35">
      <c r="D835" s="95" t="s">
        <v>229</v>
      </c>
      <c r="F835" s="186">
        <v>0.06</v>
      </c>
      <c r="G835">
        <v>1</v>
      </c>
      <c r="H835">
        <v>3</v>
      </c>
      <c r="I835">
        <v>6</v>
      </c>
      <c r="J835" s="15">
        <f>I835*H835</f>
        <v>18</v>
      </c>
      <c r="L835" t="s">
        <v>2328</v>
      </c>
      <c r="O835" s="1"/>
      <c r="U835" s="1" t="s">
        <v>2326</v>
      </c>
    </row>
    <row r="836" spans="2:26" x14ac:dyDescent="0.35">
      <c r="D836" s="95"/>
      <c r="F836" s="186">
        <v>0.06</v>
      </c>
      <c r="G836">
        <v>1</v>
      </c>
      <c r="H836">
        <v>7</v>
      </c>
      <c r="I836">
        <v>3</v>
      </c>
      <c r="J836" s="15">
        <f>I836*H836</f>
        <v>21</v>
      </c>
      <c r="L836" s="186" t="s">
        <v>2543</v>
      </c>
      <c r="O836" s="1"/>
      <c r="W836" s="1" t="s">
        <v>2338</v>
      </c>
    </row>
    <row r="837" spans="2:26" x14ac:dyDescent="0.35">
      <c r="D837" s="95"/>
      <c r="F837" s="186">
        <v>0.02</v>
      </c>
      <c r="G837">
        <v>1</v>
      </c>
      <c r="H837">
        <v>3</v>
      </c>
      <c r="I837">
        <v>2.4</v>
      </c>
      <c r="J837" s="15">
        <f>I837*H837</f>
        <v>7.1999999999999993</v>
      </c>
      <c r="L837" t="s">
        <v>2142</v>
      </c>
      <c r="O837" s="1"/>
    </row>
    <row r="838" spans="2:26" x14ac:dyDescent="0.35">
      <c r="D838" s="95"/>
      <c r="J838" s="15"/>
      <c r="O838" s="1"/>
    </row>
    <row r="839" spans="2:26" x14ac:dyDescent="0.35">
      <c r="D839" s="95" t="s">
        <v>2118</v>
      </c>
      <c r="F839" s="186">
        <v>0.08</v>
      </c>
      <c r="G839">
        <v>1</v>
      </c>
      <c r="H839" s="13">
        <v>3.2</v>
      </c>
      <c r="I839">
        <v>2.5</v>
      </c>
      <c r="J839" s="15">
        <f>I839*H839</f>
        <v>8</v>
      </c>
      <c r="L839" t="s">
        <v>2541</v>
      </c>
      <c r="O839" s="1"/>
      <c r="W839" s="205" t="s">
        <v>2396</v>
      </c>
      <c r="X839" s="205" t="s">
        <v>2395</v>
      </c>
      <c r="Y839" s="205" t="s">
        <v>2394</v>
      </c>
      <c r="Z839" s="205" t="s">
        <v>2397</v>
      </c>
    </row>
    <row r="840" spans="2:26" x14ac:dyDescent="0.35">
      <c r="D840" s="95"/>
      <c r="F840" s="186">
        <v>0.1</v>
      </c>
      <c r="G840">
        <v>1</v>
      </c>
      <c r="H840" s="13">
        <v>3.2</v>
      </c>
      <c r="I840">
        <v>2.5</v>
      </c>
      <c r="J840" s="15">
        <f>I840*H840</f>
        <v>8</v>
      </c>
      <c r="L840" t="s">
        <v>2406</v>
      </c>
      <c r="O840" s="1"/>
      <c r="W840">
        <v>13</v>
      </c>
      <c r="X840">
        <v>1000</v>
      </c>
      <c r="Y840">
        <f>D801</f>
        <v>1</v>
      </c>
      <c r="Z840" s="20">
        <f>(1/(6.28*SQRT(X840*0.000001*Y840*0.000001)))</f>
        <v>5035.4739811598392</v>
      </c>
    </row>
    <row r="841" spans="2:26" x14ac:dyDescent="0.35">
      <c r="D841" s="95"/>
      <c r="F841" s="186"/>
      <c r="H841" s="13"/>
      <c r="J841" s="15"/>
      <c r="O841" s="1"/>
    </row>
    <row r="842" spans="2:26" x14ac:dyDescent="0.35">
      <c r="D842" s="95" t="s">
        <v>2184</v>
      </c>
      <c r="F842" s="186">
        <v>0.08</v>
      </c>
      <c r="G842">
        <v>1</v>
      </c>
      <c r="H842" s="13">
        <v>3.2</v>
      </c>
      <c r="I842">
        <v>2.5</v>
      </c>
      <c r="J842" s="15">
        <f>I842*H842</f>
        <v>8</v>
      </c>
      <c r="L842" t="s">
        <v>2541</v>
      </c>
      <c r="O842" s="1"/>
    </row>
    <row r="843" spans="2:26" x14ac:dyDescent="0.35">
      <c r="D843" s="95"/>
      <c r="F843" s="186"/>
      <c r="H843" s="13"/>
      <c r="J843" s="15"/>
      <c r="O843" s="1"/>
    </row>
    <row r="844" spans="2:26" x14ac:dyDescent="0.35">
      <c r="D844" s="95" t="s">
        <v>1909</v>
      </c>
      <c r="F844" s="186">
        <v>1.06</v>
      </c>
      <c r="G844">
        <v>1</v>
      </c>
      <c r="H844" s="13">
        <v>6</v>
      </c>
      <c r="I844">
        <v>5</v>
      </c>
      <c r="J844" s="15">
        <f>I844*H844</f>
        <v>30</v>
      </c>
      <c r="L844" t="s">
        <v>2176</v>
      </c>
      <c r="O844" s="1"/>
      <c r="U844" s="1" t="s">
        <v>2177</v>
      </c>
    </row>
    <row r="845" spans="2:26" x14ac:dyDescent="0.35">
      <c r="D845" s="95"/>
      <c r="F845" s="186">
        <v>0.1</v>
      </c>
      <c r="G845">
        <v>1</v>
      </c>
      <c r="H845" s="13">
        <v>4</v>
      </c>
      <c r="I845">
        <v>4</v>
      </c>
      <c r="J845" s="15">
        <f>I845*H845</f>
        <v>16</v>
      </c>
      <c r="L845" t="s">
        <v>2183</v>
      </c>
      <c r="O845" s="1"/>
    </row>
    <row r="846" spans="2:26" x14ac:dyDescent="0.35">
      <c r="D846" s="95"/>
      <c r="F846" s="186">
        <v>0.01</v>
      </c>
      <c r="G846">
        <v>6</v>
      </c>
      <c r="H846" s="13">
        <v>1.6</v>
      </c>
      <c r="I846">
        <v>0.8</v>
      </c>
      <c r="J846" s="15">
        <f>I846*H846</f>
        <v>1.2800000000000002</v>
      </c>
      <c r="L846" s="2" t="s">
        <v>2320</v>
      </c>
      <c r="O846" s="1"/>
    </row>
    <row r="847" spans="2:26" x14ac:dyDescent="0.35">
      <c r="D847" s="95"/>
      <c r="F847" s="186"/>
      <c r="H847" s="13"/>
      <c r="J847" s="15"/>
      <c r="O847" s="1"/>
    </row>
    <row r="848" spans="2:26" x14ac:dyDescent="0.35">
      <c r="D848" s="95" t="s">
        <v>2185</v>
      </c>
      <c r="F848" s="186">
        <v>0.05</v>
      </c>
      <c r="G848">
        <v>1</v>
      </c>
      <c r="H848" s="13">
        <v>3.2</v>
      </c>
      <c r="I848">
        <v>1.6</v>
      </c>
      <c r="J848" s="15">
        <f>I848*H848</f>
        <v>5.120000000000001</v>
      </c>
      <c r="L848" t="s">
        <v>2618</v>
      </c>
      <c r="O848" s="1"/>
    </row>
    <row r="849" spans="1:27" x14ac:dyDescent="0.35">
      <c r="D849" s="95"/>
      <c r="F849" s="186">
        <v>0.03</v>
      </c>
      <c r="G849">
        <v>2</v>
      </c>
      <c r="H849" s="13">
        <v>2</v>
      </c>
      <c r="I849">
        <v>1.2</v>
      </c>
      <c r="J849" s="15">
        <f>I849*H849</f>
        <v>2.4</v>
      </c>
      <c r="L849" t="s">
        <v>2476</v>
      </c>
      <c r="O849" s="1"/>
    </row>
    <row r="850" spans="1:27" x14ac:dyDescent="0.35">
      <c r="D850" s="95"/>
      <c r="F850" s="186"/>
      <c r="H850" s="13"/>
      <c r="J850" s="15"/>
      <c r="O850" s="1"/>
    </row>
    <row r="851" spans="1:27" s="5" customFormat="1" x14ac:dyDescent="0.35">
      <c r="A851" s="86" t="s">
        <v>2435</v>
      </c>
      <c r="B851" s="84"/>
    </row>
    <row r="852" spans="1:27" x14ac:dyDescent="0.35">
      <c r="L852" s="1"/>
      <c r="N852" s="1"/>
      <c r="O852" s="73"/>
      <c r="P852" s="1"/>
    </row>
    <row r="853" spans="1:27" ht="18.5" x14ac:dyDescent="0.45">
      <c r="B853" s="83" t="s">
        <v>2418</v>
      </c>
      <c r="D853" s="206" t="s">
        <v>2429</v>
      </c>
      <c r="F853" s="186"/>
      <c r="G853" s="13"/>
      <c r="I853" s="15"/>
      <c r="N853" s="1"/>
    </row>
    <row r="854" spans="1:27" ht="18.5" x14ac:dyDescent="0.45">
      <c r="B854" s="83" t="s">
        <v>2433</v>
      </c>
      <c r="D854" s="206" t="s">
        <v>2430</v>
      </c>
      <c r="F854" s="186"/>
      <c r="G854" s="13"/>
      <c r="I854" s="15"/>
      <c r="N854" s="1"/>
    </row>
    <row r="855" spans="1:27" ht="18.5" x14ac:dyDescent="0.45">
      <c r="B855" s="83" t="s">
        <v>2434</v>
      </c>
      <c r="D855" s="206" t="s">
        <v>2431</v>
      </c>
      <c r="E855" s="206"/>
      <c r="F855" s="186"/>
      <c r="G855" s="13"/>
      <c r="I855" s="15"/>
      <c r="N855" s="1"/>
    </row>
    <row r="856" spans="1:27" ht="18.5" x14ac:dyDescent="0.45">
      <c r="D856" s="206" t="s">
        <v>2432</v>
      </c>
      <c r="F856" s="186"/>
      <c r="G856" s="13"/>
      <c r="I856" s="15"/>
      <c r="N856" s="1"/>
    </row>
    <row r="857" spans="1:27" ht="18.5" x14ac:dyDescent="0.45">
      <c r="D857" s="206" t="s">
        <v>2436</v>
      </c>
      <c r="F857" s="186"/>
      <c r="G857" s="13"/>
      <c r="I857" s="15"/>
      <c r="N857" s="1"/>
    </row>
    <row r="858" spans="1:27" ht="18.5" x14ac:dyDescent="0.45">
      <c r="D858" s="206" t="s">
        <v>2437</v>
      </c>
      <c r="F858" s="186"/>
      <c r="G858" s="13"/>
      <c r="I858" s="15"/>
      <c r="N858" s="1"/>
    </row>
    <row r="859" spans="1:27" ht="18.5" x14ac:dyDescent="0.45">
      <c r="D859" s="206" t="s">
        <v>2438</v>
      </c>
      <c r="L859" s="1"/>
      <c r="N859" s="1"/>
      <c r="O859" s="73"/>
      <c r="P859" s="1"/>
    </row>
    <row r="860" spans="1:27" x14ac:dyDescent="0.35">
      <c r="C860" s="83"/>
      <c r="D860" s="83"/>
      <c r="E860" s="83"/>
      <c r="L860" s="1"/>
      <c r="N860" s="1"/>
      <c r="O860" s="73"/>
      <c r="P860" s="1"/>
    </row>
    <row r="861" spans="1:27" x14ac:dyDescent="0.35">
      <c r="C861" s="83"/>
      <c r="D861" s="83"/>
      <c r="E861" s="83"/>
      <c r="L861" s="1"/>
      <c r="N861" s="1"/>
      <c r="O861" s="73"/>
      <c r="P861" s="1"/>
      <c r="AA861" t="s">
        <v>0</v>
      </c>
    </row>
    <row r="862" spans="1:27" x14ac:dyDescent="0.35">
      <c r="C862" s="83"/>
      <c r="D862" s="83"/>
      <c r="E862" s="83"/>
      <c r="L862" s="1"/>
      <c r="N862" s="1"/>
      <c r="O862" s="73"/>
      <c r="P862" s="1"/>
    </row>
    <row r="863" spans="1:27" x14ac:dyDescent="0.35">
      <c r="C863" s="83"/>
      <c r="D863" s="83"/>
      <c r="E863" s="83"/>
      <c r="L863" s="1"/>
      <c r="N863" s="1"/>
      <c r="O863" s="73"/>
      <c r="P863" s="1"/>
    </row>
    <row r="864" spans="1:27" x14ac:dyDescent="0.35">
      <c r="C864" s="83"/>
      <c r="D864" s="83"/>
      <c r="E864" s="83"/>
      <c r="L864" s="1"/>
      <c r="N864" s="1"/>
      <c r="O864" s="73"/>
      <c r="P864" s="1"/>
    </row>
    <row r="865" spans="12:16" x14ac:dyDescent="0.35">
      <c r="L865" s="1"/>
      <c r="N865" s="1"/>
      <c r="O865" s="73"/>
      <c r="P865" s="1"/>
    </row>
    <row r="866" spans="12:16" x14ac:dyDescent="0.35">
      <c r="L866" s="1"/>
      <c r="N866" s="1"/>
      <c r="O866" s="73"/>
      <c r="P866" s="1"/>
    </row>
    <row r="867" spans="12:16" x14ac:dyDescent="0.35">
      <c r="L867" s="1"/>
      <c r="N867" s="1"/>
      <c r="O867" s="73"/>
      <c r="P867" s="1"/>
    </row>
    <row r="868" spans="12:16" x14ac:dyDescent="0.35">
      <c r="L868" s="1"/>
      <c r="N868" s="1"/>
      <c r="O868" s="73"/>
      <c r="P868" s="1"/>
    </row>
    <row r="869" spans="12:16" x14ac:dyDescent="0.35">
      <c r="L869" s="1"/>
      <c r="N869" s="1"/>
      <c r="O869" s="73"/>
      <c r="P869" s="1"/>
    </row>
    <row r="870" spans="12:16" x14ac:dyDescent="0.35">
      <c r="L870" s="1"/>
      <c r="N870" s="1"/>
      <c r="O870" s="73"/>
      <c r="P870" s="1"/>
    </row>
    <row r="871" spans="12:16" x14ac:dyDescent="0.35">
      <c r="L871" s="1"/>
      <c r="N871" s="1"/>
      <c r="O871" s="73"/>
      <c r="P871" s="1"/>
    </row>
    <row r="872" spans="12:16" x14ac:dyDescent="0.35">
      <c r="L872" s="1"/>
      <c r="N872" s="1"/>
      <c r="O872" s="73"/>
      <c r="P872" s="1"/>
    </row>
    <row r="873" spans="12:16" x14ac:dyDescent="0.35">
      <c r="L873" s="1"/>
      <c r="N873" s="1"/>
      <c r="O873" s="73"/>
      <c r="P873" s="1"/>
    </row>
    <row r="874" spans="12:16" x14ac:dyDescent="0.35">
      <c r="L874" s="1"/>
      <c r="N874" s="1"/>
      <c r="O874" s="73"/>
      <c r="P874" s="1"/>
    </row>
    <row r="875" spans="12:16" x14ac:dyDescent="0.35">
      <c r="L875" s="1"/>
      <c r="N875" s="1"/>
      <c r="O875" s="73"/>
      <c r="P875" s="1"/>
    </row>
    <row r="876" spans="12:16" x14ac:dyDescent="0.35">
      <c r="L876" s="1"/>
      <c r="N876" s="1"/>
      <c r="O876" s="73"/>
      <c r="P876" s="1"/>
    </row>
    <row r="877" spans="12:16" x14ac:dyDescent="0.35">
      <c r="L877" s="1"/>
      <c r="N877" s="1"/>
      <c r="O877" s="73"/>
      <c r="P877" s="1"/>
    </row>
    <row r="878" spans="12:16" x14ac:dyDescent="0.35">
      <c r="L878" s="1"/>
      <c r="N878" s="1"/>
      <c r="O878" s="73"/>
      <c r="P878" s="1"/>
    </row>
    <row r="879" spans="12:16" x14ac:dyDescent="0.35">
      <c r="L879" s="1"/>
      <c r="N879" s="1"/>
      <c r="O879" s="73"/>
      <c r="P879" s="1"/>
    </row>
    <row r="880" spans="12:16" x14ac:dyDescent="0.35">
      <c r="L880" s="1"/>
      <c r="N880" s="1"/>
      <c r="O880" s="73"/>
      <c r="P880" s="1"/>
    </row>
    <row r="881" spans="1:24" x14ac:dyDescent="0.35">
      <c r="L881" s="1"/>
      <c r="N881" s="1"/>
      <c r="O881" s="73"/>
      <c r="P881" s="1"/>
    </row>
    <row r="882" spans="1:24" x14ac:dyDescent="0.35">
      <c r="L882" s="1"/>
      <c r="N882" s="1"/>
      <c r="O882" s="73"/>
      <c r="P882" s="1"/>
    </row>
    <row r="883" spans="1:24" x14ac:dyDescent="0.35">
      <c r="D883" s="95"/>
      <c r="F883" s="186"/>
      <c r="G883" s="13"/>
      <c r="I883" s="15"/>
      <c r="N883" s="1"/>
    </row>
    <row r="884" spans="1:24" s="5" customFormat="1" x14ac:dyDescent="0.35">
      <c r="A884" s="86" t="s">
        <v>2483</v>
      </c>
      <c r="B884" s="84"/>
    </row>
    <row r="885" spans="1:24" s="2" customFormat="1" x14ac:dyDescent="0.35">
      <c r="A885" s="93"/>
      <c r="B885" s="85"/>
    </row>
    <row r="886" spans="1:24" x14ac:dyDescent="0.35">
      <c r="B886" s="83" t="s">
        <v>99</v>
      </c>
      <c r="D886" t="s">
        <v>2158</v>
      </c>
      <c r="F886" t="s">
        <v>2159</v>
      </c>
      <c r="S886" t="s">
        <v>2439</v>
      </c>
      <c r="U886" t="s">
        <v>2253</v>
      </c>
      <c r="V886" s="1" t="s">
        <v>1950</v>
      </c>
    </row>
    <row r="887" spans="1:24" x14ac:dyDescent="0.35">
      <c r="D887" t="s">
        <v>2157</v>
      </c>
      <c r="F887" t="s">
        <v>2605</v>
      </c>
      <c r="U887" t="s">
        <v>2251</v>
      </c>
      <c r="V887" s="1" t="s">
        <v>2072</v>
      </c>
    </row>
    <row r="888" spans="1:24" x14ac:dyDescent="0.35">
      <c r="D888" t="s">
        <v>2161</v>
      </c>
      <c r="F888" t="s">
        <v>2168</v>
      </c>
      <c r="U888" t="s">
        <v>2252</v>
      </c>
      <c r="V888" s="1" t="s">
        <v>1951</v>
      </c>
    </row>
    <row r="889" spans="1:24" x14ac:dyDescent="0.35">
      <c r="D889" t="s">
        <v>2160</v>
      </c>
      <c r="F889" t="s">
        <v>2506</v>
      </c>
    </row>
    <row r="890" spans="1:24" x14ac:dyDescent="0.35">
      <c r="D890" t="s">
        <v>2169</v>
      </c>
      <c r="F890" s="186">
        <f>F968</f>
        <v>1.5100000000000002</v>
      </c>
    </row>
    <row r="891" spans="1:24" x14ac:dyDescent="0.35">
      <c r="D891" t="s">
        <v>2170</v>
      </c>
      <c r="F891" s="48">
        <f>J968</f>
        <v>234.32000000000005</v>
      </c>
    </row>
    <row r="892" spans="1:24" x14ac:dyDescent="0.35">
      <c r="D892" t="s">
        <v>2271</v>
      </c>
      <c r="F892" s="12">
        <f>F891*$E$301*$E$302</f>
        <v>0.72639200000000015</v>
      </c>
    </row>
    <row r="893" spans="1:24" x14ac:dyDescent="0.35">
      <c r="D893" t="s">
        <v>2498</v>
      </c>
      <c r="F893" t="s">
        <v>2501</v>
      </c>
      <c r="O893" t="s">
        <v>0</v>
      </c>
    </row>
    <row r="894" spans="1:24" x14ac:dyDescent="0.35">
      <c r="D894" s="186"/>
      <c r="F894" s="201" t="s">
        <v>1819</v>
      </c>
      <c r="G894" s="1" t="s">
        <v>2440</v>
      </c>
      <c r="H894" t="s">
        <v>0</v>
      </c>
      <c r="I894" s="201" t="s">
        <v>1995</v>
      </c>
      <c r="J894" s="1" t="s">
        <v>2443</v>
      </c>
      <c r="K894" t="s">
        <v>0</v>
      </c>
      <c r="L894" s="201" t="s">
        <v>2384</v>
      </c>
      <c r="M894" s="1" t="s">
        <v>2444</v>
      </c>
      <c r="N894" t="s">
        <v>0</v>
      </c>
      <c r="O894" s="1"/>
      <c r="X894" s="186"/>
    </row>
    <row r="895" spans="1:24" x14ac:dyDescent="0.35">
      <c r="D895" s="186"/>
      <c r="G895" s="201"/>
      <c r="H895" s="1"/>
      <c r="J895" s="201"/>
      <c r="K895" s="1"/>
      <c r="M895" s="201"/>
      <c r="N895" s="1"/>
      <c r="O895" s="1"/>
      <c r="X895" s="186"/>
    </row>
    <row r="896" spans="1:24" x14ac:dyDescent="0.35">
      <c r="B896" s="83" t="s">
        <v>2076</v>
      </c>
      <c r="D896" s="13">
        <v>100</v>
      </c>
      <c r="E896" t="s">
        <v>40</v>
      </c>
      <c r="F896" t="s">
        <v>2164</v>
      </c>
    </row>
    <row r="897" spans="2:23" x14ac:dyDescent="0.35">
      <c r="D897" s="13">
        <v>3.5</v>
      </c>
      <c r="E897" t="s">
        <v>40</v>
      </c>
      <c r="F897" t="s">
        <v>2165</v>
      </c>
    </row>
    <row r="898" spans="2:23" x14ac:dyDescent="0.35">
      <c r="D898" s="13">
        <v>50</v>
      </c>
      <c r="E898" t="s">
        <v>40</v>
      </c>
      <c r="F898" t="s">
        <v>2513</v>
      </c>
    </row>
    <row r="899" spans="2:23" x14ac:dyDescent="0.35">
      <c r="D899" s="13">
        <v>50</v>
      </c>
      <c r="E899" t="s">
        <v>40</v>
      </c>
      <c r="F899" t="s">
        <v>2514</v>
      </c>
    </row>
    <row r="900" spans="2:23" x14ac:dyDescent="0.35">
      <c r="D900" s="13">
        <f>SUM(D896:D899)</f>
        <v>203.5</v>
      </c>
      <c r="E900" t="s">
        <v>40</v>
      </c>
      <c r="F900" t="s">
        <v>2323</v>
      </c>
    </row>
    <row r="901" spans="2:23" x14ac:dyDescent="0.35">
      <c r="D901">
        <f>$E$304</f>
        <v>1</v>
      </c>
      <c r="E901" t="s">
        <v>1834</v>
      </c>
      <c r="F901" t="s">
        <v>2171</v>
      </c>
      <c r="H901" t="s">
        <v>2194</v>
      </c>
    </row>
    <row r="902" spans="2:23" x14ac:dyDescent="0.35">
      <c r="D902">
        <f>$E$305</f>
        <v>4</v>
      </c>
      <c r="E902" t="s">
        <v>1834</v>
      </c>
      <c r="H902" t="s">
        <v>2195</v>
      </c>
    </row>
    <row r="903" spans="2:23" x14ac:dyDescent="0.35">
      <c r="D903">
        <f>$E$306</f>
        <v>16</v>
      </c>
      <c r="E903" t="s">
        <v>1834</v>
      </c>
      <c r="H903" t="s">
        <v>2196</v>
      </c>
    </row>
    <row r="904" spans="2:23" x14ac:dyDescent="0.35">
      <c r="D904" s="13">
        <v>5</v>
      </c>
      <c r="E904" t="s">
        <v>39</v>
      </c>
      <c r="F904" t="s">
        <v>2302</v>
      </c>
    </row>
    <row r="905" spans="2:23" x14ac:dyDescent="0.35">
      <c r="C905" t="s">
        <v>2441</v>
      </c>
      <c r="D905" s="13">
        <v>1.2</v>
      </c>
      <c r="E905" t="s">
        <v>1834</v>
      </c>
      <c r="F905" t="s">
        <v>2515</v>
      </c>
    </row>
    <row r="906" spans="2:23" x14ac:dyDescent="0.35">
      <c r="D906" s="13">
        <v>85</v>
      </c>
      <c r="E906" t="s">
        <v>1830</v>
      </c>
      <c r="F906" t="s">
        <v>2296</v>
      </c>
    </row>
    <row r="907" spans="2:23" x14ac:dyDescent="0.35">
      <c r="D907" s="13">
        <v>265</v>
      </c>
      <c r="E907" t="s">
        <v>1830</v>
      </c>
      <c r="F907" t="s">
        <v>2297</v>
      </c>
    </row>
    <row r="908" spans="2:23" x14ac:dyDescent="0.35">
      <c r="D908">
        <v>775</v>
      </c>
      <c r="E908" t="s">
        <v>1441</v>
      </c>
      <c r="F908" t="s">
        <v>2551</v>
      </c>
    </row>
    <row r="910" spans="2:23" x14ac:dyDescent="0.35">
      <c r="B910" s="83" t="s">
        <v>2497</v>
      </c>
      <c r="N910" s="201"/>
      <c r="O910" s="1" t="s">
        <v>0</v>
      </c>
      <c r="W910" s="186"/>
    </row>
    <row r="911" spans="2:23" x14ac:dyDescent="0.35">
      <c r="D911" s="186" t="s">
        <v>2451</v>
      </c>
      <c r="G911" s="201"/>
      <c r="H911" s="1"/>
      <c r="I911" t="s">
        <v>2453</v>
      </c>
      <c r="K911" s="201"/>
      <c r="L911" s="1" t="s">
        <v>2452</v>
      </c>
      <c r="M911" t="s">
        <v>0</v>
      </c>
      <c r="N911" s="201"/>
      <c r="O911" s="1"/>
      <c r="W911" s="186"/>
    </row>
    <row r="912" spans="2:23" x14ac:dyDescent="0.35">
      <c r="D912" s="186" t="s">
        <v>2516</v>
      </c>
      <c r="G912" s="201"/>
      <c r="H912" s="1"/>
      <c r="K912" s="201"/>
      <c r="L912" s="1"/>
      <c r="N912" s="201"/>
      <c r="O912" s="1"/>
      <c r="W912" s="186"/>
    </row>
    <row r="913" spans="2:24" x14ac:dyDescent="0.35">
      <c r="D913" s="186" t="s">
        <v>2588</v>
      </c>
      <c r="G913" s="201"/>
      <c r="H913" s="1"/>
      <c r="K913" s="201"/>
      <c r="L913" s="1"/>
      <c r="N913" s="201"/>
      <c r="O913" s="1"/>
      <c r="W913" s="186"/>
    </row>
    <row r="914" spans="2:24" x14ac:dyDescent="0.35">
      <c r="D914" s="186"/>
      <c r="G914" s="201"/>
      <c r="H914" s="1"/>
      <c r="K914" s="201"/>
      <c r="L914" s="1"/>
      <c r="N914" s="201"/>
      <c r="O914" s="1"/>
      <c r="W914" s="186"/>
    </row>
    <row r="915" spans="2:24" x14ac:dyDescent="0.35">
      <c r="F915" s="209" t="s">
        <v>2484</v>
      </c>
    </row>
    <row r="916" spans="2:24" ht="15" thickBot="1" x14ac:dyDescent="0.4">
      <c r="D916" s="210" t="s">
        <v>2485</v>
      </c>
      <c r="E916" s="210" t="s">
        <v>2486</v>
      </c>
      <c r="F916" s="210" t="s">
        <v>2487</v>
      </c>
      <c r="G916" s="210" t="s">
        <v>2488</v>
      </c>
      <c r="H916" s="210" t="s">
        <v>2489</v>
      </c>
      <c r="I916" s="210" t="s">
        <v>2490</v>
      </c>
      <c r="J916" s="210" t="s">
        <v>2491</v>
      </c>
      <c r="K916" s="210" t="s">
        <v>2492</v>
      </c>
      <c r="L916" s="210" t="s">
        <v>2493</v>
      </c>
      <c r="M916" s="210" t="s">
        <v>2494</v>
      </c>
      <c r="N916" s="210" t="s">
        <v>2495</v>
      </c>
    </row>
    <row r="917" spans="2:24" x14ac:dyDescent="0.35">
      <c r="D917">
        <v>110</v>
      </c>
      <c r="E917">
        <v>1</v>
      </c>
      <c r="F917" s="212">
        <v>0.24</v>
      </c>
      <c r="G917">
        <v>13</v>
      </c>
      <c r="H917">
        <v>470</v>
      </c>
      <c r="I917">
        <v>0.01</v>
      </c>
      <c r="J917">
        <v>0.01</v>
      </c>
      <c r="K917">
        <v>1.4</v>
      </c>
      <c r="L917">
        <v>22</v>
      </c>
      <c r="M917">
        <v>1</v>
      </c>
      <c r="N917" s="73" t="s">
        <v>2496</v>
      </c>
    </row>
    <row r="918" spans="2:24" x14ac:dyDescent="0.35">
      <c r="D918">
        <v>265</v>
      </c>
      <c r="E918">
        <v>1</v>
      </c>
      <c r="F918" s="17">
        <v>0.16</v>
      </c>
      <c r="G918" t="s">
        <v>122</v>
      </c>
      <c r="H918" t="s">
        <v>122</v>
      </c>
      <c r="I918" t="s">
        <v>122</v>
      </c>
      <c r="J918" t="s">
        <v>122</v>
      </c>
      <c r="K918" t="s">
        <v>122</v>
      </c>
      <c r="L918" t="s">
        <v>122</v>
      </c>
      <c r="M918" t="s">
        <v>122</v>
      </c>
      <c r="N918" t="s">
        <v>122</v>
      </c>
    </row>
    <row r="919" spans="2:24" x14ac:dyDescent="0.35">
      <c r="D919">
        <v>110</v>
      </c>
      <c r="E919">
        <v>10</v>
      </c>
      <c r="F919" s="17">
        <v>0.71</v>
      </c>
      <c r="G919">
        <v>13</v>
      </c>
      <c r="H919">
        <v>470</v>
      </c>
      <c r="I919">
        <v>0.01</v>
      </c>
      <c r="J919">
        <v>0.01</v>
      </c>
      <c r="K919">
        <v>1.4</v>
      </c>
      <c r="L919">
        <v>22</v>
      </c>
      <c r="M919">
        <v>1</v>
      </c>
      <c r="N919" s="73" t="s">
        <v>2496</v>
      </c>
    </row>
    <row r="920" spans="2:24" x14ac:dyDescent="0.35">
      <c r="D920">
        <v>265</v>
      </c>
      <c r="E920">
        <v>10</v>
      </c>
      <c r="F920" s="17">
        <v>0.63</v>
      </c>
      <c r="G920" s="73" t="s">
        <v>122</v>
      </c>
      <c r="H920" s="73" t="s">
        <v>122</v>
      </c>
      <c r="I920" s="73" t="s">
        <v>122</v>
      </c>
      <c r="J920" s="73" t="s">
        <v>122</v>
      </c>
      <c r="K920" s="73" t="s">
        <v>122</v>
      </c>
      <c r="L920" s="73" t="s">
        <v>122</v>
      </c>
      <c r="M920" s="73" t="s">
        <v>122</v>
      </c>
      <c r="N920" s="73" t="s">
        <v>122</v>
      </c>
    </row>
    <row r="921" spans="2:24" x14ac:dyDescent="0.35">
      <c r="D921">
        <v>110</v>
      </c>
      <c r="E921">
        <v>16</v>
      </c>
      <c r="F921" s="17">
        <v>0.73</v>
      </c>
      <c r="G921">
        <v>13</v>
      </c>
      <c r="H921">
        <v>470</v>
      </c>
      <c r="I921" s="211">
        <v>0.16</v>
      </c>
      <c r="J921" s="211">
        <v>0.16</v>
      </c>
      <c r="K921">
        <v>1.4</v>
      </c>
      <c r="L921" s="211">
        <v>10</v>
      </c>
      <c r="M921">
        <v>1</v>
      </c>
      <c r="N921" s="73" t="s">
        <v>2496</v>
      </c>
    </row>
    <row r="922" spans="2:24" x14ac:dyDescent="0.35">
      <c r="D922">
        <v>265</v>
      </c>
      <c r="E922">
        <v>16</v>
      </c>
      <c r="F922" s="17">
        <v>0.63</v>
      </c>
      <c r="G922" s="73" t="s">
        <v>122</v>
      </c>
      <c r="H922" s="73" t="s">
        <v>122</v>
      </c>
      <c r="I922" s="73" t="s">
        <v>122</v>
      </c>
      <c r="J922" s="73" t="s">
        <v>122</v>
      </c>
      <c r="K922" s="73" t="s">
        <v>122</v>
      </c>
      <c r="L922" s="73" t="s">
        <v>122</v>
      </c>
      <c r="M922" s="73" t="s">
        <v>122</v>
      </c>
      <c r="N922" s="73" t="s">
        <v>122</v>
      </c>
    </row>
    <row r="924" spans="2:24" x14ac:dyDescent="0.35">
      <c r="B924" s="83" t="s">
        <v>2192</v>
      </c>
      <c r="D924" s="208"/>
      <c r="F924" s="17"/>
      <c r="G924" s="73"/>
      <c r="H924" s="73"/>
      <c r="I924" s="73"/>
      <c r="J924" s="73"/>
      <c r="K924" s="73"/>
      <c r="L924" s="73"/>
      <c r="M924" s="73"/>
      <c r="N924" s="73"/>
    </row>
    <row r="925" spans="2:24" x14ac:dyDescent="0.35">
      <c r="F925" s="192" t="s">
        <v>2668</v>
      </c>
      <c r="H925" s="192" t="s">
        <v>2520</v>
      </c>
      <c r="I925" s="193" t="s">
        <v>2197</v>
      </c>
      <c r="J925" s="192" t="s">
        <v>2321</v>
      </c>
      <c r="K925" s="192" t="s">
        <v>2321</v>
      </c>
      <c r="L925" s="192" t="s">
        <v>2191</v>
      </c>
      <c r="M925" s="199" t="s">
        <v>2200</v>
      </c>
      <c r="N925" s="192" t="s">
        <v>2186</v>
      </c>
      <c r="O925" s="192" t="s">
        <v>65</v>
      </c>
      <c r="Q925" s="192" t="s">
        <v>2520</v>
      </c>
      <c r="R925" s="192" t="s">
        <v>2197</v>
      </c>
      <c r="S925" s="192" t="s">
        <v>2321</v>
      </c>
      <c r="T925" s="192" t="s">
        <v>2321</v>
      </c>
      <c r="U925" s="192" t="s">
        <v>2191</v>
      </c>
      <c r="V925" s="199" t="s">
        <v>2200</v>
      </c>
      <c r="W925" s="192" t="s">
        <v>2186</v>
      </c>
      <c r="X925" s="192" t="s">
        <v>65</v>
      </c>
    </row>
    <row r="926" spans="2:24" x14ac:dyDescent="0.35">
      <c r="F926" s="144" t="s">
        <v>1834</v>
      </c>
      <c r="G926" s="4"/>
      <c r="H926" s="144" t="s">
        <v>2519</v>
      </c>
      <c r="I926" s="194" t="s">
        <v>2190</v>
      </c>
      <c r="J926" s="144" t="s">
        <v>2322</v>
      </c>
      <c r="K926" s="144" t="s">
        <v>2190</v>
      </c>
      <c r="L926" s="144" t="s">
        <v>2190</v>
      </c>
      <c r="M926" s="200" t="s">
        <v>2201</v>
      </c>
      <c r="N926" s="144" t="s">
        <v>2199</v>
      </c>
      <c r="O926" s="144" t="s">
        <v>1225</v>
      </c>
      <c r="P926" s="4"/>
      <c r="Q926" s="144" t="s">
        <v>2519</v>
      </c>
      <c r="R926" s="144" t="s">
        <v>2190</v>
      </c>
      <c r="S926" s="144" t="s">
        <v>2322</v>
      </c>
      <c r="T926" s="144" t="s">
        <v>2190</v>
      </c>
      <c r="U926" s="144" t="s">
        <v>2190</v>
      </c>
      <c r="V926" s="200" t="s">
        <v>2201</v>
      </c>
      <c r="W926" s="144" t="s">
        <v>2199</v>
      </c>
      <c r="X926" s="144" t="s">
        <v>1225</v>
      </c>
    </row>
    <row r="927" spans="2:24" x14ac:dyDescent="0.35">
      <c r="D927" t="str">
        <f>H901</f>
        <v>Processor sleeping</v>
      </c>
      <c r="F927">
        <f>$E$304</f>
        <v>1</v>
      </c>
      <c r="H927" s="195">
        <f>120*1.414</f>
        <v>169.67999999999998</v>
      </c>
      <c r="I927" s="207">
        <f>((J927*0.001)^2*$D$900)*1000 +K927</f>
        <v>20.8364010880167</v>
      </c>
      <c r="J927" s="12">
        <f>K927/H927</f>
        <v>0.12278013515637282</v>
      </c>
      <c r="K927" s="13">
        <f>L927/M927</f>
        <v>20.833333333333336</v>
      </c>
      <c r="L927" s="15">
        <f>$F927*$D$799</f>
        <v>5</v>
      </c>
      <c r="M927" s="17">
        <f>F917</f>
        <v>0.24</v>
      </c>
      <c r="N927" s="17">
        <f>L927/I927</f>
        <v>0.23996466466925367</v>
      </c>
      <c r="O927" s="9">
        <f>I927*$E$299</f>
        <v>2.7379031029653941E-2</v>
      </c>
      <c r="Q927" s="195">
        <f>265*1.414</f>
        <v>374.71</v>
      </c>
      <c r="R927" s="207">
        <f>((S927*0.001)^2*$D$900)*1000 +T927</f>
        <v>31.251415382723263</v>
      </c>
      <c r="S927" s="12">
        <f>T927/Q927</f>
        <v>8.3397827653385284E-2</v>
      </c>
      <c r="T927" s="15">
        <f>U927/V927</f>
        <v>31.25</v>
      </c>
      <c r="U927" s="13">
        <f>$F927*$D$799</f>
        <v>5</v>
      </c>
      <c r="V927" s="53">
        <f>F918</f>
        <v>0.16</v>
      </c>
      <c r="W927" s="17">
        <f>U927/R927</f>
        <v>0.15999275356866405</v>
      </c>
      <c r="X927" s="9">
        <f>R927*$E$299</f>
        <v>4.1064359812898361E-2</v>
      </c>
    </row>
    <row r="928" spans="2:24" x14ac:dyDescent="0.35">
      <c r="B928"/>
      <c r="D928" t="str">
        <f>H902</f>
        <v>Typical operations</v>
      </c>
      <c r="F928">
        <f>$E$305</f>
        <v>4</v>
      </c>
      <c r="H928" s="196">
        <f>H927</f>
        <v>169.67999999999998</v>
      </c>
      <c r="I928" s="71">
        <f>((J928*0.001)^2*$D$900)*1000 +K928</f>
        <v>28.174622580274132</v>
      </c>
      <c r="J928" s="12">
        <f>K928/H928</f>
        <v>0.16601257711284209</v>
      </c>
      <c r="K928" s="13">
        <f>L928/M928</f>
        <v>28.169014084507044</v>
      </c>
      <c r="L928" s="15">
        <f>$F928*$D$799</f>
        <v>20</v>
      </c>
      <c r="M928" s="17">
        <f>F919</f>
        <v>0.71</v>
      </c>
      <c r="N928" s="17">
        <f>L928/I928</f>
        <v>0.70985866600401515</v>
      </c>
      <c r="O928" s="9">
        <f>I928*$E$299</f>
        <v>3.7021454070480207E-2</v>
      </c>
      <c r="Q928" s="196">
        <f>Q927</f>
        <v>374.71</v>
      </c>
      <c r="R928" s="71">
        <f>((S928*0.001)^2*$D$900)*1000 +T928</f>
        <v>31.747492418149278</v>
      </c>
      <c r="S928" s="12">
        <f>T928/Q928</f>
        <v>8.4721602695502524E-2</v>
      </c>
      <c r="T928" s="15">
        <f>U928/V928</f>
        <v>31.746031746031747</v>
      </c>
      <c r="U928" s="13">
        <f>$F928*$D$799</f>
        <v>20</v>
      </c>
      <c r="V928" s="53">
        <f>F920</f>
        <v>0.63</v>
      </c>
      <c r="W928" s="17">
        <f>U928/R928</f>
        <v>0.62997101429549385</v>
      </c>
      <c r="X928" s="9">
        <f>R928*$E$299</f>
        <v>4.1716205037448148E-2</v>
      </c>
    </row>
    <row r="929" spans="2:35" x14ac:dyDescent="0.35">
      <c r="B929"/>
      <c r="D929" t="str">
        <f>H903</f>
        <v>Maximum operations</v>
      </c>
      <c r="F929">
        <f>$E$306</f>
        <v>16</v>
      </c>
      <c r="H929" s="196">
        <f>H927</f>
        <v>169.67999999999998</v>
      </c>
      <c r="I929" s="204">
        <f>((J929*0.001)^2*$D$900)*1000 +K929</f>
        <v>109.67392734745548</v>
      </c>
      <c r="J929" s="12">
        <f>K929/H929</f>
        <v>0.64585714931571436</v>
      </c>
      <c r="K929" s="13">
        <f>L929/M929</f>
        <v>109.58904109589041</v>
      </c>
      <c r="L929" s="15">
        <f>$F929*$D$799</f>
        <v>80</v>
      </c>
      <c r="M929" s="17">
        <f>F921</f>
        <v>0.73</v>
      </c>
      <c r="N929" s="17">
        <f>L929/I929</f>
        <v>0.72943498910688065</v>
      </c>
      <c r="O929" s="9">
        <f>I929*$E$299</f>
        <v>0.14411154053455646</v>
      </c>
      <c r="Q929" s="196">
        <f>Q927</f>
        <v>374.71</v>
      </c>
      <c r="R929" s="71">
        <f>((S929*0.001)^2*$D$900)*1000 +T929</f>
        <v>127.00749773800747</v>
      </c>
      <c r="S929" s="12">
        <f>T929/Q929</f>
        <v>0.33888641078201009</v>
      </c>
      <c r="T929" s="15">
        <f>U929/V929</f>
        <v>126.98412698412699</v>
      </c>
      <c r="U929" s="13">
        <f>$F929*$D$799</f>
        <v>80</v>
      </c>
      <c r="V929" s="53">
        <f>F922</f>
        <v>0.63</v>
      </c>
      <c r="W929" s="17">
        <f>U929/R929</f>
        <v>0.62988407318302519</v>
      </c>
      <c r="X929" s="9">
        <f>R929*$E$299</f>
        <v>0.16688785202774181</v>
      </c>
    </row>
    <row r="930" spans="2:35" x14ac:dyDescent="0.35">
      <c r="H930" s="15"/>
      <c r="I930" s="202"/>
      <c r="J930" s="12"/>
      <c r="K930" s="15"/>
      <c r="L930" s="15"/>
      <c r="M930" s="17"/>
      <c r="N930" s="17"/>
      <c r="O930" s="9"/>
      <c r="Q930" s="202"/>
      <c r="R930" s="15"/>
      <c r="S930" s="12"/>
      <c r="T930" s="15"/>
      <c r="U930" s="15"/>
      <c r="V930" s="53"/>
      <c r="W930" s="17"/>
      <c r="X930" s="9"/>
    </row>
    <row r="931" spans="2:35" x14ac:dyDescent="0.35">
      <c r="B931" s="83" t="s">
        <v>2292</v>
      </c>
      <c r="K931" s="83" t="s">
        <v>2652</v>
      </c>
      <c r="S931" s="83" t="s">
        <v>2532</v>
      </c>
      <c r="Z931" s="83" t="s">
        <v>2549</v>
      </c>
    </row>
    <row r="932" spans="2:35" x14ac:dyDescent="0.35">
      <c r="F932" s="192" t="s">
        <v>2321</v>
      </c>
      <c r="G932" s="192" t="s">
        <v>2166</v>
      </c>
      <c r="H932" s="192" t="s">
        <v>64</v>
      </c>
      <c r="I932" s="192" t="s">
        <v>2293</v>
      </c>
      <c r="K932" s="192" t="s">
        <v>2650</v>
      </c>
      <c r="L932" s="192" t="s">
        <v>2166</v>
      </c>
      <c r="M932" s="192" t="s">
        <v>64</v>
      </c>
      <c r="N932" s="192" t="s">
        <v>2293</v>
      </c>
      <c r="T932" s="213" t="s">
        <v>2502</v>
      </c>
      <c r="U932" s="192" t="s">
        <v>2446</v>
      </c>
      <c r="V932" s="192" t="s">
        <v>2446</v>
      </c>
      <c r="W932" s="192" t="s">
        <v>2446</v>
      </c>
      <c r="Z932" s="192" t="s">
        <v>2545</v>
      </c>
      <c r="AA932" s="192" t="s">
        <v>2545</v>
      </c>
      <c r="AB932" s="192" t="s">
        <v>2518</v>
      </c>
      <c r="AC932" s="192" t="s">
        <v>2550</v>
      </c>
    </row>
    <row r="933" spans="2:35" x14ac:dyDescent="0.35">
      <c r="F933" s="144" t="s">
        <v>2322</v>
      </c>
      <c r="G933" s="144" t="s">
        <v>2162</v>
      </c>
      <c r="H933" s="144" t="s">
        <v>2167</v>
      </c>
      <c r="I933" s="144" t="s">
        <v>2294</v>
      </c>
      <c r="K933" s="144" t="s">
        <v>3</v>
      </c>
      <c r="L933" s="144" t="s">
        <v>2162</v>
      </c>
      <c r="M933" s="144" t="s">
        <v>2167</v>
      </c>
      <c r="N933" s="144" t="s">
        <v>2294</v>
      </c>
      <c r="T933" s="214" t="s">
        <v>2446</v>
      </c>
      <c r="U933" s="144" t="s">
        <v>2162</v>
      </c>
      <c r="V933" s="144" t="s">
        <v>2448</v>
      </c>
      <c r="W933" s="144" t="s">
        <v>2449</v>
      </c>
      <c r="Z933" s="144" t="s">
        <v>2546</v>
      </c>
      <c r="AA933" s="144" t="s">
        <v>2547</v>
      </c>
      <c r="AB933" s="144" t="s">
        <v>2548</v>
      </c>
      <c r="AC933" s="144" t="s">
        <v>2546</v>
      </c>
    </row>
    <row r="934" spans="2:35" x14ac:dyDescent="0.35">
      <c r="D934" t="str">
        <f>D927</f>
        <v>Processor sleeping</v>
      </c>
      <c r="F934" s="12">
        <f>J927</f>
        <v>0.12278013515637282</v>
      </c>
      <c r="G934" s="15">
        <f>D900</f>
        <v>203.5</v>
      </c>
      <c r="H934" s="15">
        <f>G934*F934</f>
        <v>24.985757504321867</v>
      </c>
      <c r="I934" s="12">
        <f>H934*(F934*0.001)</f>
        <v>3.067754683364995E-3</v>
      </c>
      <c r="K934" s="12">
        <f>F934/0.2</f>
        <v>0.61390067578186402</v>
      </c>
      <c r="L934" s="15">
        <f>G934</f>
        <v>203.5</v>
      </c>
      <c r="M934" s="15">
        <f>L934*K934</f>
        <v>124.92878752160932</v>
      </c>
      <c r="N934" s="12">
        <f>M934*(K934*0.001)</f>
        <v>7.6693867084124873E-2</v>
      </c>
      <c r="T934" s="15">
        <v>500</v>
      </c>
      <c r="U934" s="15">
        <f>D$896</f>
        <v>100</v>
      </c>
      <c r="V934" s="10">
        <f>T934/U934</f>
        <v>5</v>
      </c>
      <c r="W934" s="15">
        <f>T934*V934</f>
        <v>2500</v>
      </c>
      <c r="Z934">
        <f>D908</f>
        <v>775</v>
      </c>
      <c r="AA934">
        <f>-Z934</f>
        <v>-775</v>
      </c>
      <c r="AB934" s="15">
        <f>D907*1.414</f>
        <v>374.71</v>
      </c>
      <c r="AC934" s="15">
        <f>AB934-AA934</f>
        <v>1149.71</v>
      </c>
    </row>
    <row r="935" spans="2:35" x14ac:dyDescent="0.35">
      <c r="D935" t="str">
        <f>D928</f>
        <v>Typical operations</v>
      </c>
      <c r="F935" s="12">
        <f>J928</f>
        <v>0.16601257711284209</v>
      </c>
      <c r="G935" s="15">
        <f>G934</f>
        <v>203.5</v>
      </c>
      <c r="H935" s="15">
        <f>G935*F935</f>
        <v>33.783559442463364</v>
      </c>
      <c r="I935" s="12">
        <f>H935*F935/1000</f>
        <v>5.608495767088233E-3</v>
      </c>
      <c r="K935" s="12">
        <f>F935/0.2</f>
        <v>0.83006288556421037</v>
      </c>
      <c r="L935" s="15">
        <f>L934</f>
        <v>203.5</v>
      </c>
      <c r="M935" s="15">
        <f>L935*K935</f>
        <v>168.9177972123168</v>
      </c>
      <c r="N935" s="12">
        <f>M935*K935/1000</f>
        <v>0.14021239417720582</v>
      </c>
      <c r="T935" s="15">
        <v>30</v>
      </c>
      <c r="U935" s="15">
        <f>D$896</f>
        <v>100</v>
      </c>
      <c r="V935" s="10">
        <f>T935/U935</f>
        <v>0.3</v>
      </c>
      <c r="W935" s="15">
        <f>T935*V935</f>
        <v>9</v>
      </c>
      <c r="Z935" t="s">
        <v>2649</v>
      </c>
    </row>
    <row r="936" spans="2:35" x14ac:dyDescent="0.35">
      <c r="D936" t="str">
        <f>D929</f>
        <v>Maximum operations</v>
      </c>
      <c r="E936" s="12"/>
      <c r="F936" s="12">
        <f>J929</f>
        <v>0.64585714931571436</v>
      </c>
      <c r="G936" s="15">
        <f>G935</f>
        <v>203.5</v>
      </c>
      <c r="H936" s="15">
        <f>G936*F936</f>
        <v>131.43192988574788</v>
      </c>
      <c r="I936" s="12">
        <f>H936*F936/1000</f>
        <v>8.4886251565071971E-2</v>
      </c>
      <c r="J936" s="15"/>
      <c r="K936" s="12">
        <f>F936/0.2</f>
        <v>3.2292857465785718</v>
      </c>
      <c r="L936" s="15">
        <f>L935</f>
        <v>203.5</v>
      </c>
      <c r="M936" s="15">
        <f>L936*K936</f>
        <v>657.15964942873939</v>
      </c>
      <c r="N936" s="12">
        <f>M936*K936/1000</f>
        <v>2.1221562891267989</v>
      </c>
      <c r="T936" s="15">
        <v>10</v>
      </c>
      <c r="U936" s="15">
        <f>D$896</f>
        <v>100</v>
      </c>
      <c r="V936" s="10">
        <f>T936/U936</f>
        <v>0.1</v>
      </c>
      <c r="W936" s="15">
        <f>T936*V936</f>
        <v>1</v>
      </c>
    </row>
    <row r="937" spans="2:35" x14ac:dyDescent="0.35">
      <c r="B937"/>
      <c r="D937" t="s">
        <v>2499</v>
      </c>
      <c r="E937" s="13"/>
      <c r="F937" s="12">
        <v>4.5999999999999996</v>
      </c>
      <c r="G937" s="15">
        <f>G936</f>
        <v>203.5</v>
      </c>
      <c r="H937" s="15">
        <f>G937*F937</f>
        <v>936.09999999999991</v>
      </c>
      <c r="I937" s="12">
        <f>H937*F937/1000</f>
        <v>4.3060599999999996</v>
      </c>
      <c r="K937" s="12"/>
      <c r="L937" s="15" t="s">
        <v>0</v>
      </c>
      <c r="M937" s="15" t="s">
        <v>0</v>
      </c>
      <c r="N937" s="12"/>
      <c r="T937" s="15">
        <v>1</v>
      </c>
      <c r="U937" s="15">
        <f>D$896</f>
        <v>100</v>
      </c>
      <c r="V937" s="10">
        <f>T937/U937</f>
        <v>0.01</v>
      </c>
      <c r="W937" s="10">
        <f>T937*V937</f>
        <v>0.01</v>
      </c>
    </row>
    <row r="938" spans="2:35" x14ac:dyDescent="0.35">
      <c r="B938"/>
      <c r="E938" s="13"/>
      <c r="F938" s="13"/>
      <c r="G938" s="13"/>
      <c r="I938" s="83"/>
      <c r="M938" s="13"/>
      <c r="N938" s="15"/>
    </row>
    <row r="939" spans="2:35" x14ac:dyDescent="0.35">
      <c r="B939" s="83" t="s">
        <v>2341</v>
      </c>
      <c r="H939" s="83" t="s">
        <v>2557</v>
      </c>
      <c r="I939" s="12"/>
      <c r="K939" s="15"/>
      <c r="L939" s="15"/>
      <c r="M939" s="13"/>
      <c r="S939" s="83" t="s">
        <v>2558</v>
      </c>
      <c r="AI939" s="15"/>
    </row>
    <row r="940" spans="2:35" x14ac:dyDescent="0.35">
      <c r="D940" s="189" t="s">
        <v>2283</v>
      </c>
      <c r="E940" s="189" t="s">
        <v>2503</v>
      </c>
      <c r="I940" s="189" t="s">
        <v>2244</v>
      </c>
      <c r="J940" s="189" t="s">
        <v>2242</v>
      </c>
      <c r="K940" s="189" t="s">
        <v>115</v>
      </c>
      <c r="L940" s="189" t="s">
        <v>2243</v>
      </c>
      <c r="M940" s="189" t="s">
        <v>2241</v>
      </c>
      <c r="N940" s="15"/>
      <c r="T940" s="205" t="s">
        <v>2396</v>
      </c>
      <c r="U940" s="205" t="s">
        <v>2395</v>
      </c>
      <c r="V940" s="205" t="s">
        <v>2394</v>
      </c>
      <c r="W940" s="205" t="s">
        <v>2397</v>
      </c>
      <c r="X940" s="205" t="s">
        <v>2577</v>
      </c>
      <c r="AB940" s="15"/>
      <c r="AE940" s="12"/>
      <c r="AF940" s="12"/>
      <c r="AG940" s="10"/>
      <c r="AH940" s="15"/>
      <c r="AI940" s="15"/>
    </row>
    <row r="941" spans="2:35" x14ac:dyDescent="0.35">
      <c r="D941" s="15">
        <f>D906</f>
        <v>85</v>
      </c>
      <c r="E941" s="15">
        <f>D941*1.414</f>
        <v>120.19</v>
      </c>
      <c r="I941">
        <v>0.1</v>
      </c>
      <c r="J941" s="12">
        <f>F936</f>
        <v>0.64585714931571436</v>
      </c>
      <c r="K941" s="12">
        <v>50</v>
      </c>
      <c r="L941" s="10">
        <f>((1/K941)*1)*0.8</f>
        <v>1.6E-2</v>
      </c>
      <c r="M941" s="15">
        <f>(J941*0.001)*L941/(I941*0.000001)</f>
        <v>103.33714389051431</v>
      </c>
      <c r="N941" s="15"/>
      <c r="T941">
        <v>13</v>
      </c>
      <c r="U941">
        <v>1000</v>
      </c>
      <c r="V941">
        <v>0.1</v>
      </c>
      <c r="W941" s="20">
        <f>(1/(6.28*SQRT(U941*0.000001*V941*0.000001)))</f>
        <v>15923.56687898089</v>
      </c>
      <c r="X941" t="s">
        <v>2570</v>
      </c>
      <c r="AB941" s="15"/>
      <c r="AE941" s="12"/>
      <c r="AF941" s="12"/>
      <c r="AG941" s="10"/>
      <c r="AH941" s="15"/>
      <c r="AI941" s="15"/>
    </row>
    <row r="942" spans="2:35" x14ac:dyDescent="0.35">
      <c r="D942" s="15">
        <v>110</v>
      </c>
      <c r="E942" s="15">
        <f>D942*1.414</f>
        <v>155.54</v>
      </c>
      <c r="I942">
        <f>0.1+I941</f>
        <v>0.2</v>
      </c>
      <c r="J942" s="12">
        <f>J941</f>
        <v>0.64585714931571436</v>
      </c>
      <c r="K942" s="12">
        <v>50</v>
      </c>
      <c r="L942" s="10">
        <f>((1/K942)*1)*0.8</f>
        <v>1.6E-2</v>
      </c>
      <c r="M942" s="15">
        <f>(J942*0.001)*L942/(I942*0.000001)</f>
        <v>51.668571945257156</v>
      </c>
      <c r="N942" s="15"/>
      <c r="T942">
        <v>13</v>
      </c>
      <c r="U942">
        <v>1000</v>
      </c>
      <c r="V942">
        <v>0.2</v>
      </c>
      <c r="W942" s="20">
        <f>(1/(6.28*SQRT(U942*0.000001*V942*0.000001)))</f>
        <v>11259.662120804896</v>
      </c>
      <c r="AB942" s="15"/>
      <c r="AE942" s="12"/>
      <c r="AF942" s="12"/>
      <c r="AG942" s="10"/>
      <c r="AH942" s="15"/>
      <c r="AI942" s="15"/>
    </row>
    <row r="943" spans="2:35" x14ac:dyDescent="0.35">
      <c r="D943" s="15">
        <f>D907</f>
        <v>265</v>
      </c>
      <c r="E943" s="15">
        <f>D943*1.414</f>
        <v>374.71</v>
      </c>
      <c r="T943">
        <v>13</v>
      </c>
      <c r="U943" s="162">
        <v>10000</v>
      </c>
      <c r="V943">
        <v>0.1</v>
      </c>
      <c r="W943" s="20">
        <f>(1/(6.28*SQRT(U943*0.000001*V943*0.000001)))</f>
        <v>5035.4739811598392</v>
      </c>
      <c r="X943" t="s">
        <v>2562</v>
      </c>
    </row>
    <row r="944" spans="2:35" x14ac:dyDescent="0.35">
      <c r="D944" s="15">
        <v>320</v>
      </c>
      <c r="E944" s="15">
        <f>D944*1.414</f>
        <v>452.47999999999996</v>
      </c>
      <c r="H944" s="12"/>
    </row>
    <row r="945" spans="2:24" x14ac:dyDescent="0.35">
      <c r="B945" s="83" t="s">
        <v>2521</v>
      </c>
      <c r="D945" s="15"/>
      <c r="E945" s="15"/>
      <c r="H945" s="12"/>
      <c r="I945" s="12"/>
      <c r="J945" s="10"/>
      <c r="K945" s="15"/>
      <c r="P945" s="83" t="s">
        <v>2573</v>
      </c>
    </row>
    <row r="946" spans="2:24" x14ac:dyDescent="0.35">
      <c r="D946" s="15"/>
      <c r="E946" s="15"/>
      <c r="H946" s="12"/>
      <c r="I946" s="12"/>
      <c r="J946" s="10"/>
      <c r="K946" s="15"/>
      <c r="Q946" t="s">
        <v>2575</v>
      </c>
      <c r="T946" t="s">
        <v>0</v>
      </c>
      <c r="V946" s="1" t="s">
        <v>2571</v>
      </c>
      <c r="W946" t="s">
        <v>0</v>
      </c>
      <c r="X946" t="s">
        <v>0</v>
      </c>
    </row>
    <row r="947" spans="2:24" x14ac:dyDescent="0.35">
      <c r="D947" s="15"/>
      <c r="E947" s="15"/>
      <c r="H947" s="12"/>
      <c r="I947" s="12"/>
      <c r="J947" s="10"/>
      <c r="K947" s="15"/>
      <c r="Q947" t="s">
        <v>2574</v>
      </c>
      <c r="V947" s="1" t="s">
        <v>2572</v>
      </c>
      <c r="W947" t="s">
        <v>0</v>
      </c>
      <c r="X947" t="s">
        <v>0</v>
      </c>
    </row>
    <row r="948" spans="2:24" x14ac:dyDescent="0.35">
      <c r="D948" s="15"/>
      <c r="E948" s="15"/>
      <c r="H948" s="12"/>
      <c r="I948" s="12"/>
      <c r="J948" s="10"/>
      <c r="K948" s="15"/>
    </row>
    <row r="949" spans="2:24" x14ac:dyDescent="0.35">
      <c r="D949" s="15"/>
      <c r="E949" s="15"/>
      <c r="H949" s="12"/>
      <c r="I949" s="12"/>
      <c r="J949" s="10"/>
      <c r="K949" s="15"/>
    </row>
    <row r="950" spans="2:24" x14ac:dyDescent="0.35">
      <c r="D950" s="15"/>
      <c r="E950" s="15"/>
      <c r="H950" s="12"/>
      <c r="I950" s="12"/>
      <c r="J950" s="10"/>
      <c r="K950" s="15"/>
      <c r="P950" s="83" t="s">
        <v>2662</v>
      </c>
    </row>
    <row r="951" spans="2:24" x14ac:dyDescent="0.35">
      <c r="D951" s="15"/>
      <c r="E951" s="15"/>
      <c r="H951" s="12"/>
      <c r="I951" s="12"/>
      <c r="J951" s="10"/>
      <c r="K951" s="15"/>
      <c r="Q951" t="s">
        <v>2665</v>
      </c>
      <c r="S951" t="s">
        <v>2663</v>
      </c>
    </row>
    <row r="952" spans="2:24" x14ac:dyDescent="0.35">
      <c r="D952" s="15"/>
      <c r="E952" s="15"/>
      <c r="H952" s="12"/>
      <c r="I952" s="12"/>
      <c r="J952" s="10"/>
      <c r="K952" s="15"/>
      <c r="Q952" t="s">
        <v>2666</v>
      </c>
      <c r="S952" t="s">
        <v>2664</v>
      </c>
    </row>
    <row r="953" spans="2:24" x14ac:dyDescent="0.35">
      <c r="D953" s="15"/>
      <c r="E953" s="15"/>
      <c r="H953" s="12"/>
      <c r="I953" s="12"/>
      <c r="J953" s="10"/>
      <c r="K953" s="15"/>
    </row>
    <row r="954" spans="2:24" x14ac:dyDescent="0.35">
      <c r="D954" s="15"/>
      <c r="E954" s="15"/>
      <c r="H954" s="12"/>
      <c r="I954" s="12"/>
      <c r="J954" s="10"/>
      <c r="K954" s="15"/>
    </row>
    <row r="955" spans="2:24" x14ac:dyDescent="0.35">
      <c r="D955" s="15"/>
      <c r="E955" s="15"/>
      <c r="H955" s="12"/>
      <c r="I955" s="12"/>
      <c r="J955" s="10"/>
      <c r="K955" s="15"/>
    </row>
    <row r="956" spans="2:24" x14ac:dyDescent="0.35">
      <c r="D956" s="15"/>
      <c r="E956" s="15"/>
      <c r="H956" s="12"/>
      <c r="I956" s="12"/>
      <c r="J956" s="10"/>
      <c r="K956" s="15"/>
    </row>
    <row r="957" spans="2:24" x14ac:dyDescent="0.35">
      <c r="D957" s="15"/>
      <c r="E957" s="15"/>
      <c r="H957" s="12"/>
      <c r="I957" s="12"/>
      <c r="J957" s="10"/>
      <c r="K957" s="15"/>
    </row>
    <row r="958" spans="2:24" x14ac:dyDescent="0.35">
      <c r="D958" s="15"/>
      <c r="E958" s="15"/>
      <c r="H958" s="12"/>
      <c r="I958" s="12"/>
      <c r="J958" s="10"/>
      <c r="K958" s="15"/>
    </row>
    <row r="959" spans="2:24" x14ac:dyDescent="0.35">
      <c r="D959" s="15"/>
      <c r="E959" s="15"/>
      <c r="H959" s="12"/>
      <c r="I959" s="12"/>
      <c r="J959" s="10"/>
      <c r="K959" s="15"/>
    </row>
    <row r="960" spans="2:24" x14ac:dyDescent="0.35">
      <c r="D960" s="15"/>
      <c r="E960" s="15"/>
      <c r="H960" s="12"/>
      <c r="I960" s="12"/>
      <c r="J960" s="10"/>
      <c r="K960" s="15"/>
    </row>
    <row r="961" spans="2:23" x14ac:dyDescent="0.35">
      <c r="D961" s="15"/>
      <c r="E961" s="15"/>
      <c r="H961" s="12"/>
      <c r="I961" s="12"/>
      <c r="J961" s="10"/>
      <c r="K961" s="15"/>
    </row>
    <row r="962" spans="2:23" x14ac:dyDescent="0.35">
      <c r="D962" s="15"/>
      <c r="E962" s="15"/>
      <c r="H962" s="12"/>
      <c r="I962" s="12"/>
      <c r="J962" s="10"/>
      <c r="K962" s="15"/>
    </row>
    <row r="963" spans="2:23" x14ac:dyDescent="0.35">
      <c r="D963" s="15"/>
      <c r="E963" s="15"/>
      <c r="H963" s="12"/>
      <c r="I963" s="12"/>
      <c r="J963" s="10"/>
      <c r="K963" s="15"/>
    </row>
    <row r="964" spans="2:23" x14ac:dyDescent="0.35">
      <c r="D964" s="15"/>
      <c r="E964" s="15"/>
      <c r="H964" s="12"/>
      <c r="I964" s="12"/>
      <c r="J964" s="10"/>
      <c r="K964" s="15"/>
    </row>
    <row r="965" spans="2:23" x14ac:dyDescent="0.35">
      <c r="D965" s="15"/>
      <c r="E965" s="15"/>
      <c r="H965" s="12"/>
      <c r="I965" s="12"/>
      <c r="J965" s="10"/>
      <c r="K965" s="15"/>
    </row>
    <row r="966" spans="2:23" x14ac:dyDescent="0.35">
      <c r="D966" s="15"/>
      <c r="E966" s="15"/>
      <c r="H966" s="12"/>
      <c r="I966" s="12"/>
      <c r="J966" s="10"/>
      <c r="K966" s="15"/>
    </row>
    <row r="967" spans="2:23" x14ac:dyDescent="0.35">
      <c r="D967" s="15"/>
      <c r="E967" s="15"/>
      <c r="H967" s="12"/>
      <c r="I967" s="12"/>
      <c r="J967" s="10"/>
      <c r="K967" s="15"/>
    </row>
    <row r="968" spans="2:23" x14ac:dyDescent="0.35">
      <c r="B968" s="83" t="s">
        <v>1842</v>
      </c>
      <c r="D968" s="83"/>
      <c r="F968" s="190">
        <f>SUMPRODUCT(F970:F992,G970:G992)</f>
        <v>1.5100000000000002</v>
      </c>
      <c r="J968" s="191">
        <f>SUMPRODUCT(J970:J992,G970:G992)</f>
        <v>234.32000000000005</v>
      </c>
      <c r="O968" s="1"/>
    </row>
    <row r="969" spans="2:23" x14ac:dyDescent="0.35">
      <c r="D969" s="83"/>
      <c r="F969" s="189" t="s">
        <v>1263</v>
      </c>
      <c r="G969" s="189" t="s">
        <v>2310</v>
      </c>
      <c r="H969" s="189" t="s">
        <v>2120</v>
      </c>
      <c r="I969" s="189" t="s">
        <v>2121</v>
      </c>
      <c r="J969" s="189" t="s">
        <v>2138</v>
      </c>
      <c r="O969" s="1"/>
    </row>
    <row r="970" spans="2:23" x14ac:dyDescent="0.35">
      <c r="D970" s="95" t="s">
        <v>229</v>
      </c>
      <c r="F970" s="186">
        <v>0.06</v>
      </c>
      <c r="G970">
        <v>1</v>
      </c>
      <c r="H970">
        <v>3</v>
      </c>
      <c r="I970">
        <v>6</v>
      </c>
      <c r="J970" s="15">
        <f>I970*H970</f>
        <v>18</v>
      </c>
      <c r="L970" t="s">
        <v>2328</v>
      </c>
      <c r="O970" s="1"/>
      <c r="W970" s="1" t="s">
        <v>2232</v>
      </c>
    </row>
    <row r="971" spans="2:23" x14ac:dyDescent="0.35">
      <c r="D971" s="95"/>
      <c r="F971" s="186">
        <v>0.09</v>
      </c>
      <c r="G971">
        <v>1</v>
      </c>
      <c r="H971">
        <v>7</v>
      </c>
      <c r="I971">
        <v>4</v>
      </c>
      <c r="J971" s="15">
        <f>I971*H971</f>
        <v>28</v>
      </c>
      <c r="L971" s="186" t="s">
        <v>2512</v>
      </c>
      <c r="O971" s="1"/>
    </row>
    <row r="973" spans="2:23" x14ac:dyDescent="0.35">
      <c r="D973" s="95" t="s">
        <v>2522</v>
      </c>
      <c r="F973" s="186">
        <v>0.06</v>
      </c>
      <c r="G973">
        <v>1</v>
      </c>
      <c r="H973" s="13">
        <v>5</v>
      </c>
      <c r="I973">
        <v>4</v>
      </c>
      <c r="J973" s="15">
        <f>I973*H973</f>
        <v>20</v>
      </c>
      <c r="L973" s="2" t="s">
        <v>2555</v>
      </c>
      <c r="O973" s="1"/>
    </row>
    <row r="975" spans="2:23" x14ac:dyDescent="0.35">
      <c r="D975" s="95" t="s">
        <v>2523</v>
      </c>
      <c r="F975" s="186">
        <v>0.14000000000000001</v>
      </c>
      <c r="G975">
        <v>1</v>
      </c>
      <c r="H975" s="13">
        <v>12</v>
      </c>
      <c r="I975">
        <v>6</v>
      </c>
      <c r="J975" s="15">
        <f>I975*H975</f>
        <v>72</v>
      </c>
      <c r="L975" t="s">
        <v>2659</v>
      </c>
      <c r="O975" s="1"/>
    </row>
    <row r="976" spans="2:23" x14ac:dyDescent="0.35">
      <c r="D976" s="95"/>
      <c r="F976" s="186"/>
      <c r="H976" s="13"/>
      <c r="J976" s="15"/>
      <c r="O976" s="1"/>
    </row>
    <row r="977" spans="4:30" x14ac:dyDescent="0.35">
      <c r="D977" s="95" t="s">
        <v>2118</v>
      </c>
      <c r="F977" s="186">
        <v>0.01</v>
      </c>
      <c r="G977">
        <v>1</v>
      </c>
      <c r="H977" s="13">
        <v>3.2</v>
      </c>
      <c r="I977">
        <v>1.6</v>
      </c>
      <c r="J977" s="15">
        <f>I977*H977</f>
        <v>5.120000000000001</v>
      </c>
      <c r="L977" t="s">
        <v>2526</v>
      </c>
      <c r="O977" s="1"/>
    </row>
    <row r="978" spans="4:30" x14ac:dyDescent="0.35">
      <c r="D978" s="95"/>
      <c r="F978" s="186">
        <v>0.11</v>
      </c>
      <c r="G978">
        <v>1</v>
      </c>
      <c r="H978" s="13">
        <v>3.2</v>
      </c>
      <c r="I978">
        <v>2.5</v>
      </c>
      <c r="J978" s="15">
        <f>I978*H978</f>
        <v>8</v>
      </c>
      <c r="L978" t="s">
        <v>2542</v>
      </c>
      <c r="O978" s="1"/>
    </row>
    <row r="979" spans="4:30" x14ac:dyDescent="0.35">
      <c r="D979" s="95"/>
      <c r="F979" s="186">
        <v>0.1</v>
      </c>
      <c r="G979">
        <v>1</v>
      </c>
      <c r="H979" s="13">
        <v>3.2</v>
      </c>
      <c r="I979">
        <v>2.5</v>
      </c>
      <c r="J979" s="15">
        <f>I979*H979</f>
        <v>8</v>
      </c>
      <c r="L979" t="s">
        <v>2406</v>
      </c>
      <c r="O979" s="1"/>
      <c r="W979" t="s">
        <v>2653</v>
      </c>
    </row>
    <row r="980" spans="4:30" x14ac:dyDescent="0.35">
      <c r="D980" s="95"/>
      <c r="F980" s="186">
        <v>0.01</v>
      </c>
      <c r="G980">
        <v>1</v>
      </c>
      <c r="H980" s="13">
        <v>3.2</v>
      </c>
      <c r="I980">
        <v>1.6</v>
      </c>
      <c r="J980" s="15">
        <f>I980*H980</f>
        <v>5.120000000000001</v>
      </c>
      <c r="L980" t="s">
        <v>2526</v>
      </c>
      <c r="O980" s="1"/>
    </row>
    <row r="981" spans="4:30" x14ac:dyDescent="0.35">
      <c r="D981" s="95"/>
      <c r="F981" s="186"/>
      <c r="H981" s="13"/>
      <c r="J981" s="15"/>
      <c r="O981" s="1"/>
    </row>
    <row r="982" spans="4:30" x14ac:dyDescent="0.35">
      <c r="D982" s="95" t="s">
        <v>2556</v>
      </c>
      <c r="F982" s="186">
        <v>0.11</v>
      </c>
      <c r="G982">
        <v>1</v>
      </c>
      <c r="H982" s="13">
        <v>3.2</v>
      </c>
      <c r="I982">
        <v>2.5</v>
      </c>
      <c r="J982" s="15">
        <f>I982*H982</f>
        <v>8</v>
      </c>
      <c r="L982" t="s">
        <v>2542</v>
      </c>
      <c r="O982" s="1"/>
      <c r="W982" t="s">
        <v>2651</v>
      </c>
    </row>
    <row r="983" spans="4:30" x14ac:dyDescent="0.35">
      <c r="D983" s="95"/>
      <c r="F983" s="186"/>
      <c r="H983" s="13"/>
      <c r="J983" s="15"/>
      <c r="O983" s="1"/>
    </row>
    <row r="984" spans="4:30" x14ac:dyDescent="0.35">
      <c r="D984" s="95" t="s">
        <v>1909</v>
      </c>
      <c r="F984" s="186">
        <v>0.44</v>
      </c>
      <c r="G984">
        <v>1</v>
      </c>
      <c r="H984" s="13">
        <v>4</v>
      </c>
      <c r="I984">
        <v>4</v>
      </c>
      <c r="J984" s="15">
        <f>I984*H984</f>
        <v>16</v>
      </c>
      <c r="L984" t="s">
        <v>2578</v>
      </c>
      <c r="O984" s="1"/>
      <c r="V984" s="1"/>
      <c r="W984" s="1" t="s">
        <v>2579</v>
      </c>
    </row>
    <row r="985" spans="4:30" x14ac:dyDescent="0.35">
      <c r="D985" s="95"/>
      <c r="F985" s="186">
        <v>0.1</v>
      </c>
      <c r="G985">
        <v>1</v>
      </c>
      <c r="H985" s="13">
        <v>3.2</v>
      </c>
      <c r="I985">
        <v>2.5</v>
      </c>
      <c r="J985" s="15">
        <f>I985*H985</f>
        <v>8</v>
      </c>
      <c r="L985" t="s">
        <v>2466</v>
      </c>
      <c r="O985" s="1"/>
      <c r="W985" s="1" t="s">
        <v>2308</v>
      </c>
      <c r="AD985" t="s">
        <v>2318</v>
      </c>
    </row>
    <row r="986" spans="4:30" x14ac:dyDescent="0.35">
      <c r="D986" s="95"/>
      <c r="F986" s="186">
        <v>0.02</v>
      </c>
      <c r="G986">
        <v>2</v>
      </c>
      <c r="H986" s="13">
        <v>3</v>
      </c>
      <c r="I986">
        <v>2.4</v>
      </c>
      <c r="J986" s="15">
        <f>I986*H986</f>
        <v>7.1999999999999993</v>
      </c>
      <c r="L986" t="s">
        <v>2142</v>
      </c>
      <c r="M986" s="2"/>
      <c r="N986" s="2"/>
      <c r="O986" s="21"/>
      <c r="P986" s="2"/>
      <c r="W986" s="1" t="s">
        <v>2309</v>
      </c>
    </row>
    <row r="987" spans="4:30" x14ac:dyDescent="0.35">
      <c r="D987" s="95"/>
      <c r="F987" s="186">
        <v>0.03</v>
      </c>
      <c r="G987">
        <v>2</v>
      </c>
      <c r="H987" s="13">
        <v>2</v>
      </c>
      <c r="I987">
        <v>1.2</v>
      </c>
      <c r="J987" s="15">
        <f>I987*H987</f>
        <v>2.4</v>
      </c>
      <c r="L987" t="s">
        <v>2476</v>
      </c>
      <c r="M987" s="2"/>
      <c r="N987" s="2"/>
      <c r="O987" s="21"/>
      <c r="P987" s="2"/>
      <c r="W987" s="1"/>
    </row>
    <row r="988" spans="4:30" x14ac:dyDescent="0.35">
      <c r="D988" s="95"/>
      <c r="M988" s="2"/>
      <c r="N988" s="2"/>
      <c r="O988" s="21"/>
      <c r="P988" s="2"/>
      <c r="W988" s="1"/>
    </row>
    <row r="989" spans="4:30" x14ac:dyDescent="0.35">
      <c r="D989" s="95"/>
      <c r="F989" s="186">
        <v>0.01</v>
      </c>
      <c r="G989">
        <v>7</v>
      </c>
      <c r="H989" s="13">
        <v>1.6</v>
      </c>
      <c r="I989">
        <v>0.8</v>
      </c>
      <c r="J989" s="15">
        <f>I989*H989</f>
        <v>1.2800000000000002</v>
      </c>
      <c r="L989" s="2" t="s">
        <v>2580</v>
      </c>
      <c r="M989" s="2"/>
      <c r="N989" s="2"/>
      <c r="O989" s="21"/>
      <c r="P989" s="2"/>
      <c r="W989" s="1"/>
    </row>
    <row r="990" spans="4:30" x14ac:dyDescent="0.35">
      <c r="D990" s="95"/>
      <c r="F990" s="186"/>
      <c r="H990" s="13"/>
      <c r="J990" s="15"/>
      <c r="O990" s="1"/>
    </row>
    <row r="991" spans="4:30" x14ac:dyDescent="0.35">
      <c r="D991" s="95" t="s">
        <v>2185</v>
      </c>
      <c r="F991" s="186">
        <v>0.05</v>
      </c>
      <c r="G991">
        <v>1</v>
      </c>
      <c r="H991" s="13">
        <v>3.2</v>
      </c>
      <c r="I991">
        <v>1.6</v>
      </c>
      <c r="J991" s="15">
        <f>I991*H991</f>
        <v>5.120000000000001</v>
      </c>
      <c r="L991" t="s">
        <v>2618</v>
      </c>
      <c r="O991" s="1"/>
    </row>
    <row r="992" spans="4:30" x14ac:dyDescent="0.35">
      <c r="D992" s="95"/>
      <c r="F992" s="186">
        <v>0.03</v>
      </c>
      <c r="G992">
        <v>2</v>
      </c>
      <c r="H992" s="13">
        <v>2</v>
      </c>
      <c r="I992">
        <v>1.2</v>
      </c>
      <c r="J992" s="15">
        <f>I992*H992</f>
        <v>2.4</v>
      </c>
      <c r="L992" t="s">
        <v>2476</v>
      </c>
      <c r="O992" s="1"/>
    </row>
    <row r="993" spans="1:15" x14ac:dyDescent="0.35">
      <c r="D993" s="95"/>
      <c r="F993" s="186"/>
      <c r="H993" s="13"/>
      <c r="J993" s="15"/>
      <c r="O993" s="1"/>
    </row>
    <row r="994" spans="1:15" s="5" customFormat="1" x14ac:dyDescent="0.35">
      <c r="A994" s="86" t="s">
        <v>2364</v>
      </c>
      <c r="B994" s="84"/>
    </row>
    <row r="995" spans="1:15" s="2" customFormat="1" x14ac:dyDescent="0.35">
      <c r="A995" s="93"/>
      <c r="B995" s="85"/>
    </row>
    <row r="996" spans="1:15" x14ac:dyDescent="0.35">
      <c r="B996" s="83" t="s">
        <v>145</v>
      </c>
      <c r="D996" t="s">
        <v>1872</v>
      </c>
    </row>
    <row r="997" spans="1:15" x14ac:dyDescent="0.35">
      <c r="D997" t="s">
        <v>1913</v>
      </c>
    </row>
    <row r="1014" spans="2:6" x14ac:dyDescent="0.35">
      <c r="B1014" s="83" t="s">
        <v>4414</v>
      </c>
      <c r="D1014" t="s">
        <v>5133</v>
      </c>
    </row>
    <row r="1015" spans="2:6" x14ac:dyDescent="0.35">
      <c r="D1015" t="s">
        <v>5136</v>
      </c>
    </row>
    <row r="1017" spans="2:6" x14ac:dyDescent="0.35">
      <c r="B1017" s="83" t="s">
        <v>99</v>
      </c>
      <c r="D1017" t="s">
        <v>2158</v>
      </c>
      <c r="F1017" t="s">
        <v>2159</v>
      </c>
    </row>
    <row r="1018" spans="2:6" x14ac:dyDescent="0.35">
      <c r="D1018" t="s">
        <v>2157</v>
      </c>
      <c r="F1018" t="s">
        <v>2605</v>
      </c>
    </row>
    <row r="1019" spans="2:6" x14ac:dyDescent="0.35">
      <c r="D1019" t="s">
        <v>2161</v>
      </c>
      <c r="F1019" t="s">
        <v>2606</v>
      </c>
    </row>
    <row r="1020" spans="2:6" x14ac:dyDescent="0.35">
      <c r="D1020" t="s">
        <v>2160</v>
      </c>
      <c r="F1020" t="s">
        <v>2607</v>
      </c>
    </row>
    <row r="1021" spans="2:6" x14ac:dyDescent="0.35">
      <c r="D1021" t="s">
        <v>2169</v>
      </c>
      <c r="F1021" s="186">
        <f>F1057</f>
        <v>1.4000000000000001</v>
      </c>
    </row>
    <row r="1022" spans="2:6" x14ac:dyDescent="0.35">
      <c r="D1022" t="s">
        <v>2170</v>
      </c>
      <c r="F1022" s="48">
        <f>J1057</f>
        <v>313.72000000000003</v>
      </c>
    </row>
    <row r="1023" spans="2:6" x14ac:dyDescent="0.35">
      <c r="D1023" t="s">
        <v>2271</v>
      </c>
      <c r="F1023" s="12">
        <f>F1022*$E$301*$E$302</f>
        <v>0.97253200000000006</v>
      </c>
    </row>
    <row r="1024" spans="2:6" x14ac:dyDescent="0.35">
      <c r="F1024" s="12"/>
    </row>
    <row r="1025" spans="2:8" x14ac:dyDescent="0.35">
      <c r="B1025" s="83" t="s">
        <v>1840</v>
      </c>
      <c r="D1025">
        <v>60</v>
      </c>
      <c r="E1025">
        <v>100</v>
      </c>
      <c r="F1025" s="211">
        <v>20</v>
      </c>
      <c r="G1025" t="s">
        <v>1167</v>
      </c>
      <c r="H1025" t="s">
        <v>2811</v>
      </c>
    </row>
    <row r="1026" spans="2:8" x14ac:dyDescent="0.35">
      <c r="D1026" s="17">
        <f>1/(D1025/4)</f>
        <v>6.6666666666666666E-2</v>
      </c>
      <c r="E1026" s="17">
        <f>1/(E1025/4)</f>
        <v>0.04</v>
      </c>
      <c r="F1026" s="17">
        <f>1/(F1025/4)</f>
        <v>0.2</v>
      </c>
      <c r="H1026" t="s">
        <v>2041</v>
      </c>
    </row>
    <row r="1027" spans="2:8" x14ac:dyDescent="0.35">
      <c r="D1027" s="15">
        <v>110</v>
      </c>
      <c r="E1027" s="215">
        <v>220</v>
      </c>
      <c r="F1027" s="15">
        <v>110</v>
      </c>
      <c r="G1027" t="s">
        <v>1830</v>
      </c>
      <c r="H1027" t="s">
        <v>1831</v>
      </c>
    </row>
    <row r="1028" spans="2:8" x14ac:dyDescent="0.35">
      <c r="D1028" s="287">
        <f>SIN((1/D1025)*2*3.14)*D1027*1.414</f>
        <v>16.250145010545538</v>
      </c>
      <c r="E1028" s="287">
        <f>SIN((1/E1025)*2*3.14)*E1027*1.414</f>
        <v>19.522985504556083</v>
      </c>
      <c r="F1028" s="287">
        <f>SIN((1/F1025)*2*3.14)*F1027*1.414</f>
        <v>48.040942996187916</v>
      </c>
      <c r="G1028" t="s">
        <v>1832</v>
      </c>
      <c r="H1028" t="s">
        <v>1833</v>
      </c>
    </row>
    <row r="1029" spans="2:8" x14ac:dyDescent="0.35">
      <c r="D1029" s="15">
        <v>5</v>
      </c>
      <c r="E1029" s="15">
        <v>5</v>
      </c>
      <c r="F1029" s="15">
        <v>5</v>
      </c>
      <c r="G1029" t="s">
        <v>1832</v>
      </c>
      <c r="H1029" t="s">
        <v>2022</v>
      </c>
    </row>
    <row r="1030" spans="2:8" x14ac:dyDescent="0.35">
      <c r="D1030" s="15">
        <v>1</v>
      </c>
      <c r="E1030" s="15">
        <v>1</v>
      </c>
      <c r="F1030" s="15">
        <v>1</v>
      </c>
      <c r="G1030" t="s">
        <v>1832</v>
      </c>
      <c r="H1030" t="s">
        <v>1873</v>
      </c>
    </row>
    <row r="1031" spans="2:8" x14ac:dyDescent="0.35">
      <c r="D1031" s="15">
        <v>6</v>
      </c>
      <c r="E1031" s="15">
        <v>6</v>
      </c>
      <c r="F1031" s="15">
        <v>6</v>
      </c>
      <c r="G1031" t="s">
        <v>1832</v>
      </c>
      <c r="H1031" t="s">
        <v>1874</v>
      </c>
    </row>
    <row r="1032" spans="2:8" x14ac:dyDescent="0.35">
      <c r="C1032" s="187"/>
      <c r="D1032" s="15"/>
      <c r="E1032" s="15"/>
      <c r="F1032" s="15"/>
    </row>
    <row r="1033" spans="2:8" x14ac:dyDescent="0.35">
      <c r="C1033" s="285" t="s">
        <v>2655</v>
      </c>
      <c r="D1033" s="15">
        <f>(D1028-D1031)</f>
        <v>10.250145010545538</v>
      </c>
      <c r="E1033" s="15">
        <f>E1028-E1031</f>
        <v>13.522985504556083</v>
      </c>
      <c r="F1033" s="15">
        <f>F1028-F1031</f>
        <v>42.040942996187916</v>
      </c>
      <c r="G1033" t="s">
        <v>1832</v>
      </c>
      <c r="H1033" t="s">
        <v>2644</v>
      </c>
    </row>
    <row r="1034" spans="2:8" x14ac:dyDescent="0.35">
      <c r="C1034" s="286"/>
      <c r="D1034" s="15">
        <f>AVERAGE(D1028,D1033)</f>
        <v>13.250145010545538</v>
      </c>
      <c r="E1034" s="15">
        <f>AVERAGE(E1028,E1033)</f>
        <v>16.522985504556083</v>
      </c>
      <c r="F1034" s="15">
        <f>AVERAGE(F1028,F1033)</f>
        <v>45.040942996187916</v>
      </c>
      <c r="G1034" t="s">
        <v>1832</v>
      </c>
      <c r="H1034" t="s">
        <v>1875</v>
      </c>
    </row>
    <row r="1035" spans="2:8" x14ac:dyDescent="0.35">
      <c r="C1035" s="286"/>
      <c r="D1035" s="17">
        <f>D1029/D1034</f>
        <v>0.37735436072741813</v>
      </c>
      <c r="E1035" s="17">
        <f>E1029/E1034</f>
        <v>0.30260875061721076</v>
      </c>
      <c r="F1035" s="17">
        <f>F1029/F1034</f>
        <v>0.11101010918939197</v>
      </c>
      <c r="G1035" t="s">
        <v>1169</v>
      </c>
      <c r="H1035" t="s">
        <v>2487</v>
      </c>
    </row>
    <row r="1036" spans="2:8" x14ac:dyDescent="0.35">
      <c r="C1036" s="286"/>
      <c r="D1036">
        <v>16</v>
      </c>
      <c r="E1036">
        <v>16</v>
      </c>
      <c r="F1036">
        <v>16</v>
      </c>
      <c r="G1036" t="s">
        <v>1834</v>
      </c>
      <c r="H1036" t="s">
        <v>1835</v>
      </c>
    </row>
    <row r="1037" spans="2:8" x14ac:dyDescent="0.35">
      <c r="C1037" s="286"/>
      <c r="D1037" s="15">
        <f>(D1034-D1031)*D1036</f>
        <v>116.0023201687286</v>
      </c>
      <c r="E1037" s="15">
        <f>(E1034-E1031)*E1036</f>
        <v>168.36776807289732</v>
      </c>
      <c r="F1037" s="15">
        <f>(F1034-F1031)*F1036</f>
        <v>624.65508793900665</v>
      </c>
      <c r="G1037" t="s">
        <v>201</v>
      </c>
      <c r="H1037" t="s">
        <v>2019</v>
      </c>
    </row>
    <row r="1038" spans="2:8" x14ac:dyDescent="0.35">
      <c r="C1038" s="286"/>
      <c r="D1038" s="15"/>
      <c r="E1038" s="15"/>
      <c r="F1038" s="15"/>
    </row>
    <row r="1039" spans="2:8" x14ac:dyDescent="0.35">
      <c r="C1039" s="285" t="s">
        <v>2654</v>
      </c>
      <c r="D1039">
        <v>2</v>
      </c>
      <c r="E1039">
        <v>2</v>
      </c>
      <c r="F1039">
        <v>2</v>
      </c>
      <c r="G1039" t="s">
        <v>1834</v>
      </c>
      <c r="H1039" t="s">
        <v>1839</v>
      </c>
    </row>
    <row r="1040" spans="2:8" x14ac:dyDescent="0.35">
      <c r="C1040" s="286"/>
      <c r="D1040" s="15">
        <f>D1039*(D1028-D1031)</f>
        <v>20.500290021091075</v>
      </c>
      <c r="E1040" s="15">
        <f>E1039*(E1028-E1031)</f>
        <v>27.045971009112165</v>
      </c>
      <c r="F1040" s="15">
        <f>F1039*(F1028-F1031)</f>
        <v>84.081885992375831</v>
      </c>
      <c r="G1040" t="s">
        <v>201</v>
      </c>
      <c r="H1040" t="s">
        <v>2020</v>
      </c>
    </row>
    <row r="1041" spans="2:19" x14ac:dyDescent="0.35">
      <c r="C1041" s="286"/>
      <c r="D1041" s="8">
        <f>D1040*$E$299</f>
        <v>2.6937381087713669E-2</v>
      </c>
      <c r="E1041" s="8">
        <f>E1040*$E$299</f>
        <v>3.5538405905973382E-2</v>
      </c>
      <c r="F1041" s="8">
        <f>F1040*$E$299</f>
        <v>0.11048359819398183</v>
      </c>
      <c r="G1041" t="s">
        <v>1263</v>
      </c>
      <c r="H1041" t="s">
        <v>1869</v>
      </c>
    </row>
    <row r="1043" spans="2:19" x14ac:dyDescent="0.35">
      <c r="D1043" s="178">
        <f>0.016/D1025</f>
        <v>2.6666666666666668E-4</v>
      </c>
      <c r="E1043" s="178">
        <f>0.016/E1025</f>
        <v>1.6000000000000001E-4</v>
      </c>
      <c r="F1043" s="178">
        <f>0.016/F1025</f>
        <v>8.0000000000000004E-4</v>
      </c>
      <c r="G1043" t="s">
        <v>86</v>
      </c>
      <c r="H1043" t="s">
        <v>1870</v>
      </c>
    </row>
    <row r="1044" spans="2:19" x14ac:dyDescent="0.35">
      <c r="D1044" s="178">
        <f>2*0.016*0.5-(2*D1043)</f>
        <v>1.5466666666666667E-2</v>
      </c>
      <c r="E1044" s="178">
        <f>2*0.016*0.5-(2*E1043)</f>
        <v>1.5679999999999999E-2</v>
      </c>
      <c r="F1044" s="178">
        <f>2*0.016*0.5-(2*F1043)</f>
        <v>1.44E-2</v>
      </c>
      <c r="G1044" t="s">
        <v>86</v>
      </c>
      <c r="H1044" t="s">
        <v>1871</v>
      </c>
      <c r="R1044" t="s">
        <v>1898</v>
      </c>
      <c r="S1044" s="1" t="s">
        <v>1876</v>
      </c>
    </row>
    <row r="1045" spans="2:19" x14ac:dyDescent="0.35">
      <c r="D1045" s="15">
        <f>((D1036*0.001)*D1044/D1033)*1000000</f>
        <v>24.142747874500156</v>
      </c>
      <c r="E1045" s="15">
        <f>((E1036*0.001)*E1044/E1033)*1000000</f>
        <v>18.552116314513167</v>
      </c>
      <c r="F1045" s="15">
        <f>((F1036*0.001)*F1044/F1033)*1000000</f>
        <v>5.4803718370658725</v>
      </c>
      <c r="G1045" t="s">
        <v>1837</v>
      </c>
      <c r="H1045" t="s">
        <v>1838</v>
      </c>
      <c r="L1045" t="s">
        <v>1836</v>
      </c>
    </row>
    <row r="1046" spans="2:19" x14ac:dyDescent="0.35">
      <c r="D1046" s="15"/>
      <c r="E1046" s="15"/>
    </row>
    <row r="1047" spans="2:19" x14ac:dyDescent="0.35">
      <c r="B1047" s="83" t="s">
        <v>2589</v>
      </c>
      <c r="D1047">
        <v>1</v>
      </c>
      <c r="E1047">
        <v>4</v>
      </c>
      <c r="F1047">
        <v>16</v>
      </c>
      <c r="G1047">
        <v>16</v>
      </c>
      <c r="H1047" t="s">
        <v>2348</v>
      </c>
      <c r="I1047" t="s">
        <v>2193</v>
      </c>
    </row>
    <row r="1048" spans="2:19" x14ac:dyDescent="0.35">
      <c r="D1048">
        <v>15</v>
      </c>
      <c r="E1048">
        <v>15</v>
      </c>
      <c r="F1048">
        <v>15</v>
      </c>
      <c r="G1048">
        <v>20</v>
      </c>
      <c r="H1048" t="s">
        <v>1167</v>
      </c>
      <c r="I1048" t="s">
        <v>2347</v>
      </c>
    </row>
    <row r="1049" spans="2:19" x14ac:dyDescent="0.35">
      <c r="D1049">
        <f>D1047*D1048</f>
        <v>15</v>
      </c>
      <c r="E1049">
        <f>E1047*E1048</f>
        <v>60</v>
      </c>
      <c r="F1049">
        <f>F1047*F1048</f>
        <v>240</v>
      </c>
      <c r="G1049">
        <f>G1047*G1048</f>
        <v>320</v>
      </c>
      <c r="H1049" t="s">
        <v>1834</v>
      </c>
      <c r="I1049" t="s">
        <v>2352</v>
      </c>
    </row>
    <row r="1050" spans="2:19" x14ac:dyDescent="0.35">
      <c r="D1050">
        <v>10</v>
      </c>
      <c r="E1050">
        <v>10</v>
      </c>
      <c r="F1050">
        <v>10</v>
      </c>
      <c r="G1050">
        <v>10</v>
      </c>
      <c r="H1050" t="s">
        <v>40</v>
      </c>
      <c r="I1050" t="s">
        <v>2351</v>
      </c>
    </row>
    <row r="1051" spans="2:19" x14ac:dyDescent="0.35">
      <c r="D1051">
        <f>(D1050*0.001)*D1049</f>
        <v>0.15</v>
      </c>
      <c r="E1051" s="13">
        <f>(E1050*0.001)*E1049</f>
        <v>0.6</v>
      </c>
      <c r="F1051" s="13">
        <f>(F1050*0.001)*F1049</f>
        <v>2.4</v>
      </c>
      <c r="G1051" s="13">
        <f>(G1050*0.001)*G1049</f>
        <v>3.2</v>
      </c>
      <c r="H1051" t="s">
        <v>1832</v>
      </c>
      <c r="I1051" t="s">
        <v>2353</v>
      </c>
    </row>
    <row r="1052" spans="2:19" x14ac:dyDescent="0.35">
      <c r="D1052" s="13">
        <f>1000*((D1049*0.001)^2)*D1050</f>
        <v>2.25</v>
      </c>
      <c r="E1052" s="13">
        <f>1000*((E1049*0.001)^2)*E1050</f>
        <v>36</v>
      </c>
      <c r="F1052" s="13">
        <f>1000*((F1049*0.001)^2)*F1050</f>
        <v>576</v>
      </c>
      <c r="G1052" s="13">
        <f>1000*((G1049*0.001)^2)*G1050</f>
        <v>1024</v>
      </c>
      <c r="H1052" t="s">
        <v>201</v>
      </c>
      <c r="I1052" t="s">
        <v>2354</v>
      </c>
    </row>
    <row r="1053" spans="2:19" x14ac:dyDescent="0.35">
      <c r="D1053" s="13">
        <f>D1052/D1048</f>
        <v>0.15</v>
      </c>
      <c r="E1053" s="13">
        <f>E1052/E1048</f>
        <v>2.4</v>
      </c>
      <c r="F1053" s="13">
        <f>F1052/F1048</f>
        <v>38.4</v>
      </c>
      <c r="G1053" s="13">
        <f>G1052/G1048</f>
        <v>51.2</v>
      </c>
      <c r="H1053" t="s">
        <v>201</v>
      </c>
      <c r="I1053" t="s">
        <v>2349</v>
      </c>
    </row>
    <row r="1054" spans="2:19" x14ac:dyDescent="0.35">
      <c r="D1054" s="15">
        <v>13</v>
      </c>
      <c r="E1054" s="15">
        <v>13</v>
      </c>
      <c r="F1054" s="15">
        <v>13</v>
      </c>
      <c r="G1054" s="15">
        <v>13</v>
      </c>
      <c r="H1054" t="s">
        <v>2</v>
      </c>
      <c r="I1054" t="s">
        <v>2355</v>
      </c>
    </row>
    <row r="1055" spans="2:19" x14ac:dyDescent="0.35">
      <c r="D1055">
        <f>D1054*D1047</f>
        <v>13</v>
      </c>
      <c r="E1055">
        <f>E1054*E1047</f>
        <v>52</v>
      </c>
      <c r="F1055">
        <f>F1054*F1047</f>
        <v>208</v>
      </c>
      <c r="G1055">
        <f>G1054*G1047</f>
        <v>208</v>
      </c>
      <c r="H1055" t="s">
        <v>201</v>
      </c>
      <c r="I1055" t="s">
        <v>2350</v>
      </c>
    </row>
    <row r="1057" spans="2:25" x14ac:dyDescent="0.35">
      <c r="B1057" s="83" t="s">
        <v>1842</v>
      </c>
      <c r="D1057" s="83"/>
      <c r="F1057" s="190">
        <f>SUMPRODUCT(F1059:F1074,G1059:G1074)</f>
        <v>1.4000000000000001</v>
      </c>
      <c r="J1057" s="191">
        <f>SUMPRODUCT(J1059:J1074,G1059:G1074)</f>
        <v>313.72000000000003</v>
      </c>
    </row>
    <row r="1058" spans="2:25" x14ac:dyDescent="0.35">
      <c r="D1058" s="83"/>
      <c r="F1058" s="189" t="s">
        <v>1263</v>
      </c>
      <c r="G1058" s="189" t="s">
        <v>2310</v>
      </c>
      <c r="H1058" s="189" t="s">
        <v>2120</v>
      </c>
      <c r="I1058" s="189" t="s">
        <v>2121</v>
      </c>
      <c r="J1058" s="189" t="s">
        <v>2138</v>
      </c>
    </row>
    <row r="1059" spans="2:25" x14ac:dyDescent="0.35">
      <c r="D1059" s="95" t="s">
        <v>229</v>
      </c>
      <c r="F1059" s="186">
        <v>0.16</v>
      </c>
      <c r="G1059">
        <v>1</v>
      </c>
      <c r="H1059">
        <v>13</v>
      </c>
      <c r="I1059">
        <v>6</v>
      </c>
      <c r="J1059" s="15">
        <f>I1059*H1059</f>
        <v>78</v>
      </c>
      <c r="L1059" t="s">
        <v>2590</v>
      </c>
    </row>
    <row r="1060" spans="2:25" x14ac:dyDescent="0.35">
      <c r="D1060" s="95"/>
      <c r="F1060" s="186">
        <v>0.13</v>
      </c>
      <c r="G1060">
        <v>1</v>
      </c>
      <c r="H1060">
        <v>13</v>
      </c>
      <c r="I1060">
        <v>5</v>
      </c>
      <c r="J1060" s="15">
        <f>I1060*H1060</f>
        <v>65</v>
      </c>
      <c r="L1060" s="186" t="s">
        <v>2593</v>
      </c>
    </row>
    <row r="1062" spans="2:25" x14ac:dyDescent="0.35">
      <c r="D1062" s="95" t="s">
        <v>2522</v>
      </c>
      <c r="F1062" s="186">
        <v>0.06</v>
      </c>
      <c r="G1062">
        <v>1</v>
      </c>
      <c r="H1062" s="13">
        <v>5</v>
      </c>
      <c r="I1062">
        <v>4</v>
      </c>
      <c r="J1062" s="15">
        <f>I1062*H1062</f>
        <v>20</v>
      </c>
      <c r="L1062" s="2" t="s">
        <v>2555</v>
      </c>
    </row>
    <row r="1064" spans="2:25" x14ac:dyDescent="0.35">
      <c r="D1064" s="95" t="s">
        <v>2523</v>
      </c>
      <c r="F1064" s="186">
        <v>0.14000000000000001</v>
      </c>
      <c r="G1064">
        <v>1</v>
      </c>
      <c r="H1064" s="13">
        <v>12</v>
      </c>
      <c r="I1064">
        <v>6</v>
      </c>
      <c r="J1064" s="15">
        <f>I1064*H1064</f>
        <v>72</v>
      </c>
      <c r="L1064" t="s">
        <v>2659</v>
      </c>
    </row>
    <row r="1065" spans="2:25" x14ac:dyDescent="0.35">
      <c r="D1065" s="95"/>
      <c r="F1065" s="186"/>
      <c r="H1065" s="13"/>
      <c r="J1065" s="15"/>
    </row>
    <row r="1066" spans="2:25" x14ac:dyDescent="0.35">
      <c r="D1066" s="95" t="s">
        <v>2598</v>
      </c>
      <c r="F1066" s="186">
        <v>0.5</v>
      </c>
      <c r="G1066">
        <v>1</v>
      </c>
      <c r="H1066" s="13">
        <v>6</v>
      </c>
      <c r="I1066">
        <v>6</v>
      </c>
      <c r="J1066" s="15">
        <f>I1066*H1066</f>
        <v>36</v>
      </c>
      <c r="L1066" t="s">
        <v>2599</v>
      </c>
    </row>
    <row r="1067" spans="2:25" x14ac:dyDescent="0.35">
      <c r="D1067" s="95"/>
      <c r="F1067" s="186"/>
      <c r="H1067" s="13"/>
      <c r="J1067" s="15"/>
    </row>
    <row r="1068" spans="2:25" x14ac:dyDescent="0.35">
      <c r="D1068" s="95" t="s">
        <v>2600</v>
      </c>
      <c r="F1068" s="186">
        <v>0.14000000000000001</v>
      </c>
      <c r="G1068">
        <v>1</v>
      </c>
      <c r="H1068" s="13">
        <v>3.2</v>
      </c>
      <c r="I1068">
        <v>2.5</v>
      </c>
      <c r="J1068" s="15">
        <f>I1068*H1068</f>
        <v>8</v>
      </c>
      <c r="L1068" t="s">
        <v>2597</v>
      </c>
    </row>
    <row r="1069" spans="2:25" x14ac:dyDescent="0.35">
      <c r="D1069" s="95"/>
      <c r="F1069" s="186">
        <v>0.03</v>
      </c>
      <c r="G1069">
        <v>2</v>
      </c>
      <c r="H1069" s="13">
        <v>2</v>
      </c>
      <c r="I1069">
        <v>1.2</v>
      </c>
      <c r="J1069" s="15">
        <f>I1069*H1069</f>
        <v>2.4</v>
      </c>
      <c r="L1069" t="s">
        <v>2476</v>
      </c>
    </row>
    <row r="1070" spans="2:25" x14ac:dyDescent="0.35">
      <c r="D1070" s="95"/>
      <c r="F1070" s="186"/>
      <c r="H1070" s="13"/>
      <c r="J1070" s="15"/>
    </row>
    <row r="1071" spans="2:25" x14ac:dyDescent="0.35">
      <c r="D1071" s="95" t="s">
        <v>2601</v>
      </c>
      <c r="F1071" s="186">
        <v>0.1</v>
      </c>
      <c r="G1071">
        <v>1</v>
      </c>
      <c r="H1071" s="13">
        <v>5</v>
      </c>
      <c r="I1071">
        <v>4</v>
      </c>
      <c r="J1071" s="15">
        <f>I1071*H1071</f>
        <v>20</v>
      </c>
      <c r="L1071" t="s">
        <v>2603</v>
      </c>
      <c r="Y1071" t="s">
        <v>2602</v>
      </c>
    </row>
    <row r="1072" spans="2:25" x14ac:dyDescent="0.35">
      <c r="D1072" s="95"/>
      <c r="F1072" s="186"/>
      <c r="H1072" s="13"/>
      <c r="J1072" s="15"/>
    </row>
    <row r="1073" spans="2:22" x14ac:dyDescent="0.35">
      <c r="D1073" s="95" t="s">
        <v>2185</v>
      </c>
      <c r="F1073" s="186">
        <v>0.05</v>
      </c>
      <c r="G1073">
        <v>1</v>
      </c>
      <c r="H1073" s="13">
        <v>3.2</v>
      </c>
      <c r="I1073">
        <v>1.6</v>
      </c>
      <c r="J1073" s="15">
        <f>I1073*H1073</f>
        <v>5.120000000000001</v>
      </c>
      <c r="L1073" t="s">
        <v>2618</v>
      </c>
    </row>
    <row r="1074" spans="2:22" x14ac:dyDescent="0.35">
      <c r="D1074" s="95"/>
      <c r="F1074" s="186">
        <v>0.03</v>
      </c>
      <c r="G1074">
        <v>2</v>
      </c>
      <c r="H1074" s="13">
        <v>2</v>
      </c>
      <c r="I1074">
        <v>1.2</v>
      </c>
      <c r="J1074" s="15">
        <f>I1074*H1074</f>
        <v>2.4</v>
      </c>
      <c r="L1074" t="s">
        <v>2476</v>
      </c>
    </row>
    <row r="1076" spans="2:22" x14ac:dyDescent="0.35">
      <c r="B1076" s="83" t="s">
        <v>1841</v>
      </c>
      <c r="D1076" t="s">
        <v>2604</v>
      </c>
    </row>
    <row r="1077" spans="2:22" x14ac:dyDescent="0.35">
      <c r="D1077" t="s">
        <v>2212</v>
      </c>
      <c r="J1077" s="1"/>
      <c r="K1077" s="1" t="s">
        <v>1953</v>
      </c>
    </row>
    <row r="1078" spans="2:22" x14ac:dyDescent="0.35">
      <c r="D1078" t="s">
        <v>2213</v>
      </c>
      <c r="K1078" s="1" t="s">
        <v>1823</v>
      </c>
    </row>
    <row r="1079" spans="2:22" x14ac:dyDescent="0.35">
      <c r="I1079" s="1"/>
    </row>
    <row r="1080" spans="2:22" x14ac:dyDescent="0.35">
      <c r="B1080" s="83" t="s">
        <v>2809</v>
      </c>
      <c r="D1080" t="s">
        <v>2021</v>
      </c>
      <c r="K1080" t="s">
        <v>1819</v>
      </c>
      <c r="L1080" s="1"/>
      <c r="N1080" s="1" t="s">
        <v>2016</v>
      </c>
      <c r="O1080" s="73"/>
      <c r="P1080" s="1"/>
    </row>
    <row r="1081" spans="2:22" x14ac:dyDescent="0.35">
      <c r="B1081" s="284" t="s">
        <v>2215</v>
      </c>
      <c r="D1081" t="s">
        <v>2366</v>
      </c>
      <c r="J1081" t="s">
        <v>0</v>
      </c>
      <c r="K1081" t="s">
        <v>1978</v>
      </c>
      <c r="L1081" s="1"/>
      <c r="N1081" s="1" t="s">
        <v>1956</v>
      </c>
      <c r="O1081" s="73"/>
      <c r="P1081" s="1"/>
    </row>
    <row r="1082" spans="2:22" x14ac:dyDescent="0.35">
      <c r="D1082" t="s">
        <v>2365</v>
      </c>
      <c r="J1082" t="s">
        <v>0</v>
      </c>
      <c r="K1082" t="s">
        <v>1979</v>
      </c>
      <c r="L1082" s="1"/>
      <c r="N1082" s="1" t="s">
        <v>1959</v>
      </c>
      <c r="O1082" s="73"/>
      <c r="P1082" s="1"/>
    </row>
    <row r="1083" spans="2:22" x14ac:dyDescent="0.35">
      <c r="D1083" t="s">
        <v>2367</v>
      </c>
      <c r="L1083" s="1"/>
      <c r="O1083" s="73"/>
      <c r="P1083" s="1"/>
    </row>
    <row r="1084" spans="2:22" x14ac:dyDescent="0.35">
      <c r="L1084" s="1"/>
      <c r="O1084" s="73"/>
      <c r="P1084" s="1"/>
    </row>
    <row r="1085" spans="2:22" x14ac:dyDescent="0.35">
      <c r="D1085" t="s">
        <v>1963</v>
      </c>
      <c r="K1085" t="s">
        <v>1980</v>
      </c>
      <c r="L1085" s="1"/>
      <c r="N1085" s="1" t="s">
        <v>1962</v>
      </c>
      <c r="O1085" s="73"/>
      <c r="P1085" s="1"/>
      <c r="V1085" t="s">
        <v>0</v>
      </c>
    </row>
    <row r="1086" spans="2:22" x14ac:dyDescent="0.35">
      <c r="L1086" s="1"/>
      <c r="N1086" s="1"/>
      <c r="O1086" s="73"/>
      <c r="P1086" s="1"/>
    </row>
    <row r="1087" spans="2:22" x14ac:dyDescent="0.35">
      <c r="B1087" s="283" t="s">
        <v>2808</v>
      </c>
      <c r="D1087" t="s">
        <v>2223</v>
      </c>
      <c r="K1087" t="s">
        <v>1979</v>
      </c>
      <c r="L1087" s="1"/>
      <c r="N1087" s="1" t="s">
        <v>1960</v>
      </c>
      <c r="O1087" s="73"/>
      <c r="P1087" s="1"/>
    </row>
    <row r="1088" spans="2:22" x14ac:dyDescent="0.35">
      <c r="B1088" s="284" t="s">
        <v>2215</v>
      </c>
      <c r="D1088" t="s">
        <v>2356</v>
      </c>
      <c r="K1088" t="s">
        <v>1819</v>
      </c>
      <c r="L1088" s="1"/>
      <c r="N1088" s="1" t="s">
        <v>1957</v>
      </c>
      <c r="O1088" s="73"/>
      <c r="P1088" s="1"/>
    </row>
    <row r="1089" spans="2:22" x14ac:dyDescent="0.35">
      <c r="D1089" t="s">
        <v>2368</v>
      </c>
      <c r="L1089" s="1"/>
      <c r="N1089" s="1"/>
      <c r="O1089" s="73"/>
      <c r="P1089" s="1"/>
    </row>
    <row r="1090" spans="2:22" x14ac:dyDescent="0.35">
      <c r="D1090" t="s">
        <v>2369</v>
      </c>
      <c r="K1090">
        <f>1000*(40*0.000001)*110</f>
        <v>4.3999999999999995</v>
      </c>
      <c r="L1090" t="s">
        <v>201</v>
      </c>
      <c r="N1090" s="1"/>
      <c r="O1090" s="73"/>
      <c r="P1090" s="1"/>
    </row>
    <row r="1091" spans="2:22" x14ac:dyDescent="0.35">
      <c r="L1091" s="1"/>
      <c r="N1091" s="1"/>
      <c r="O1091" s="73"/>
      <c r="P1091" s="1"/>
    </row>
    <row r="1092" spans="2:22" x14ac:dyDescent="0.35">
      <c r="D1092" t="s">
        <v>2224</v>
      </c>
      <c r="K1092" t="s">
        <v>1819</v>
      </c>
      <c r="L1092" s="1"/>
      <c r="N1092" s="1" t="s">
        <v>1961</v>
      </c>
      <c r="O1092" s="73"/>
      <c r="P1092" s="1"/>
    </row>
    <row r="1093" spans="2:22" x14ac:dyDescent="0.35">
      <c r="D1093" t="s">
        <v>2360</v>
      </c>
      <c r="K1093" s="155">
        <f>1000000*0.01*0.02/2</f>
        <v>100</v>
      </c>
      <c r="L1093" t="s">
        <v>2357</v>
      </c>
      <c r="N1093" s="1"/>
      <c r="O1093" s="73"/>
      <c r="P1093" s="1"/>
    </row>
    <row r="1094" spans="2:22" x14ac:dyDescent="0.35">
      <c r="K1094" s="155">
        <f>1000000*0.01*0.02/20</f>
        <v>10</v>
      </c>
      <c r="L1094" t="s">
        <v>2359</v>
      </c>
      <c r="N1094" s="1"/>
      <c r="O1094" s="73"/>
      <c r="P1094" s="1"/>
    </row>
    <row r="1095" spans="2:22" x14ac:dyDescent="0.35">
      <c r="D1095" t="s">
        <v>1958</v>
      </c>
      <c r="L1095" s="1"/>
      <c r="N1095" s="1" t="s">
        <v>1955</v>
      </c>
      <c r="O1095" s="73"/>
      <c r="P1095" s="1"/>
      <c r="V1095" t="s">
        <v>0</v>
      </c>
    </row>
    <row r="1096" spans="2:22" x14ac:dyDescent="0.35">
      <c r="L1096" s="1"/>
      <c r="N1096" s="1"/>
      <c r="O1096" s="73"/>
      <c r="P1096" s="1"/>
    </row>
    <row r="1097" spans="2:22" x14ac:dyDescent="0.35">
      <c r="B1097" s="83" t="s">
        <v>5110</v>
      </c>
      <c r="D1097" t="s">
        <v>5111</v>
      </c>
      <c r="L1097" s="1"/>
      <c r="N1097" s="1"/>
      <c r="O1097" s="73"/>
      <c r="P1097" s="1"/>
    </row>
    <row r="1098" spans="2:22" x14ac:dyDescent="0.35">
      <c r="L1098" s="1"/>
      <c r="N1098" s="1"/>
      <c r="O1098" s="73"/>
      <c r="P1098" s="1"/>
    </row>
    <row r="1099" spans="2:22" x14ac:dyDescent="0.35">
      <c r="B1099" s="83" t="s">
        <v>2581</v>
      </c>
      <c r="D1099" s="170" t="s">
        <v>2582</v>
      </c>
      <c r="L1099" s="1"/>
      <c r="N1099" s="1"/>
      <c r="O1099" s="73"/>
      <c r="P1099" s="1"/>
    </row>
    <row r="1100" spans="2:22" x14ac:dyDescent="0.35">
      <c r="D1100" s="170" t="s">
        <v>2810</v>
      </c>
      <c r="L1100" s="1"/>
      <c r="N1100" s="1"/>
      <c r="O1100" s="73"/>
      <c r="P1100" s="1"/>
    </row>
    <row r="1101" spans="2:22" x14ac:dyDescent="0.35">
      <c r="D1101" s="170" t="s">
        <v>2583</v>
      </c>
      <c r="L1101" s="1"/>
      <c r="N1101" s="1"/>
      <c r="O1101" s="73"/>
      <c r="P1101" s="1"/>
    </row>
    <row r="1102" spans="2:22" x14ac:dyDescent="0.35">
      <c r="D1102" s="170" t="s">
        <v>2585</v>
      </c>
      <c r="L1102" s="1"/>
      <c r="N1102" s="1"/>
      <c r="O1102" s="73"/>
      <c r="P1102" s="1"/>
    </row>
    <row r="1103" spans="2:22" x14ac:dyDescent="0.35">
      <c r="D1103" s="170" t="s">
        <v>2584</v>
      </c>
      <c r="L1103" s="1"/>
      <c r="N1103" s="1"/>
      <c r="O1103" s="73"/>
      <c r="P1103" s="1"/>
    </row>
    <row r="1104" spans="2:22" x14ac:dyDescent="0.35">
      <c r="D1104" s="170" t="s">
        <v>2586</v>
      </c>
      <c r="L1104" s="1"/>
      <c r="N1104" s="1"/>
      <c r="O1104" s="73"/>
      <c r="P1104" s="1"/>
    </row>
    <row r="1105" spans="1:16" x14ac:dyDescent="0.35">
      <c r="D1105" s="170" t="s">
        <v>2587</v>
      </c>
      <c r="L1105" s="1"/>
      <c r="N1105" s="1"/>
      <c r="O1105" s="73"/>
      <c r="P1105" s="1"/>
    </row>
    <row r="1106" spans="1:16" x14ac:dyDescent="0.35">
      <c r="D1106" s="170"/>
      <c r="L1106" s="1"/>
      <c r="N1106" s="1"/>
      <c r="O1106" s="73"/>
      <c r="P1106" s="1"/>
    </row>
    <row r="1107" spans="1:16" s="5" customFormat="1" x14ac:dyDescent="0.35">
      <c r="A1107" s="86" t="s">
        <v>5144</v>
      </c>
      <c r="B1107" s="84"/>
    </row>
    <row r="1108" spans="1:16" x14ac:dyDescent="0.35">
      <c r="D1108" s="95"/>
      <c r="E1108" s="95"/>
      <c r="F1108" s="95"/>
      <c r="G1108" s="95"/>
      <c r="H1108" s="95"/>
      <c r="I1108" s="95"/>
      <c r="J1108" s="95"/>
      <c r="K1108" s="95"/>
      <c r="L1108" s="509"/>
      <c r="M1108" s="95"/>
      <c r="N1108" s="509"/>
      <c r="O1108" s="507"/>
      <c r="P1108" s="1"/>
    </row>
    <row r="1109" spans="1:16" x14ac:dyDescent="0.35">
      <c r="B1109" s="83" t="s">
        <v>2619</v>
      </c>
      <c r="D1109" s="95" t="s">
        <v>5249</v>
      </c>
      <c r="E1109" s="95"/>
      <c r="F1109" s="95"/>
      <c r="G1109" s="95"/>
      <c r="H1109" s="95"/>
      <c r="I1109" s="95"/>
      <c r="J1109" s="95"/>
      <c r="K1109" s="95"/>
      <c r="L1109" s="509"/>
      <c r="M1109" s="95"/>
      <c r="N1109" s="509"/>
      <c r="O1109" s="507"/>
      <c r="P1109" s="1"/>
    </row>
    <row r="1110" spans="1:16" x14ac:dyDescent="0.35">
      <c r="D1110" s="95" t="s">
        <v>5137</v>
      </c>
      <c r="E1110" s="95"/>
      <c r="F1110" s="95"/>
      <c r="G1110" s="95"/>
      <c r="H1110" s="95"/>
      <c r="I1110" s="95"/>
      <c r="J1110" s="95"/>
      <c r="K1110" s="95"/>
      <c r="L1110" s="509"/>
      <c r="M1110" s="95"/>
      <c r="N1110" s="509"/>
      <c r="O1110" s="507"/>
      <c r="P1110" s="1"/>
    </row>
    <row r="1111" spans="1:16" x14ac:dyDescent="0.35">
      <c r="D1111" s="95" t="s">
        <v>5180</v>
      </c>
      <c r="E1111" s="95"/>
      <c r="F1111" s="95"/>
      <c r="G1111" s="95"/>
      <c r="H1111" s="95"/>
      <c r="I1111" s="95"/>
      <c r="J1111" s="95"/>
      <c r="K1111" s="95"/>
      <c r="L1111" s="509"/>
      <c r="M1111" s="95"/>
      <c r="N1111" s="509"/>
      <c r="O1111" s="507"/>
      <c r="P1111" s="1"/>
    </row>
    <row r="1112" spans="1:16" x14ac:dyDescent="0.35">
      <c r="D1112" s="95" t="s">
        <v>5138</v>
      </c>
      <c r="E1112" s="95"/>
      <c r="F1112" s="95"/>
      <c r="G1112" s="95"/>
      <c r="H1112" s="95"/>
      <c r="I1112" s="95"/>
      <c r="J1112" s="95"/>
      <c r="K1112" s="95"/>
      <c r="L1112" s="509"/>
      <c r="M1112" s="95"/>
      <c r="N1112" s="509"/>
      <c r="O1112" s="507"/>
      <c r="P1112" s="1"/>
    </row>
    <row r="1113" spans="1:16" x14ac:dyDescent="0.35">
      <c r="D1113" s="95" t="s">
        <v>5158</v>
      </c>
      <c r="E1113" s="95"/>
      <c r="F1113" s="95"/>
      <c r="G1113" s="95"/>
      <c r="H1113" s="95"/>
      <c r="I1113" s="95"/>
      <c r="J1113" s="95"/>
      <c r="K1113" s="95"/>
      <c r="L1113" s="509"/>
      <c r="M1113" s="95"/>
      <c r="N1113" s="509"/>
      <c r="O1113" s="507"/>
      <c r="P1113" s="1"/>
    </row>
    <row r="1115" spans="1:16" x14ac:dyDescent="0.35">
      <c r="B1115" s="83" t="s">
        <v>2625</v>
      </c>
      <c r="D1115" t="s">
        <v>2157</v>
      </c>
      <c r="E1115" t="s">
        <v>5156</v>
      </c>
    </row>
    <row r="1116" spans="1:16" x14ac:dyDescent="0.35">
      <c r="D1116" t="s">
        <v>5155</v>
      </c>
      <c r="E1116" t="s">
        <v>5206</v>
      </c>
    </row>
    <row r="1117" spans="1:16" x14ac:dyDescent="0.35">
      <c r="D1117" t="s">
        <v>5162</v>
      </c>
    </row>
    <row r="1118" spans="1:16" x14ac:dyDescent="0.35">
      <c r="D1118" s="95"/>
      <c r="E1118" s="95"/>
      <c r="F1118" s="95"/>
      <c r="G1118" s="95"/>
      <c r="H1118" s="95"/>
      <c r="I1118" s="95"/>
      <c r="J1118" s="95"/>
      <c r="K1118" s="95"/>
      <c r="L1118" s="509"/>
      <c r="M1118" s="95"/>
      <c r="N1118" s="509"/>
      <c r="O1118" s="507"/>
      <c r="P1118" s="1"/>
    </row>
    <row r="1119" spans="1:16" x14ac:dyDescent="0.35">
      <c r="B1119" s="83" t="s">
        <v>4321</v>
      </c>
      <c r="D1119" s="155" t="s">
        <v>5181</v>
      </c>
      <c r="E1119" s="95"/>
      <c r="F1119" s="95"/>
      <c r="G1119" s="95"/>
      <c r="H1119" s="95"/>
      <c r="I1119" s="95"/>
      <c r="J1119" s="95"/>
      <c r="K1119" s="95"/>
      <c r="L1119" s="155"/>
      <c r="M1119" s="155"/>
      <c r="O1119" s="509"/>
      <c r="P1119" s="95" t="s">
        <v>5207</v>
      </c>
    </row>
    <row r="1120" spans="1:16" x14ac:dyDescent="0.35">
      <c r="D1120" s="155" t="s">
        <v>5117</v>
      </c>
      <c r="E1120" s="95"/>
      <c r="F1120" s="95"/>
      <c r="G1120" s="95"/>
      <c r="H1120" s="95"/>
      <c r="I1120" s="95"/>
      <c r="J1120" s="95"/>
      <c r="K1120" s="95"/>
      <c r="L1120" s="155"/>
      <c r="M1120" s="95"/>
      <c r="O1120" s="507"/>
      <c r="P1120" s="95" t="s">
        <v>5209</v>
      </c>
    </row>
    <row r="1121" spans="2:16" x14ac:dyDescent="0.35">
      <c r="D1121" s="95" t="s">
        <v>5182</v>
      </c>
      <c r="E1121" s="95"/>
      <c r="F1121" s="95"/>
      <c r="G1121" s="95"/>
      <c r="H1121" s="95"/>
      <c r="I1121" s="95"/>
      <c r="J1121" s="95"/>
      <c r="K1121" s="95"/>
      <c r="L1121" s="155"/>
      <c r="M1121" s="95"/>
      <c r="O1121" s="507"/>
      <c r="P1121" s="511" t="s">
        <v>5208</v>
      </c>
    </row>
    <row r="1122" spans="2:16" x14ac:dyDescent="0.35">
      <c r="D1122" s="95" t="s">
        <v>5217</v>
      </c>
      <c r="E1122" s="95"/>
      <c r="F1122" s="95"/>
      <c r="G1122" s="95"/>
      <c r="H1122" s="95"/>
      <c r="I1122" s="95"/>
      <c r="J1122" s="95"/>
      <c r="K1122" s="95"/>
      <c r="L1122" s="155"/>
      <c r="M1122" s="95"/>
      <c r="O1122" s="507"/>
      <c r="P1122" s="511" t="s">
        <v>5216</v>
      </c>
    </row>
    <row r="1123" spans="2:16" x14ac:dyDescent="0.35">
      <c r="D1123" s="155" t="s">
        <v>5210</v>
      </c>
      <c r="F1123" s="295" t="s">
        <v>9363</v>
      </c>
      <c r="G1123" s="95"/>
      <c r="H1123" s="95"/>
      <c r="I1123" s="95"/>
      <c r="J1123" s="95"/>
      <c r="K1123" s="95"/>
      <c r="M1123" s="95"/>
      <c r="N1123" s="514"/>
      <c r="O1123" s="507"/>
    </row>
    <row r="1124" spans="2:16" x14ac:dyDescent="0.35">
      <c r="F1124" s="295" t="s">
        <v>9364</v>
      </c>
      <c r="G1124" s="95"/>
      <c r="H1124" s="95"/>
      <c r="I1124" s="95"/>
      <c r="J1124" s="95"/>
      <c r="K1124" s="95"/>
      <c r="M1124" s="95"/>
      <c r="N1124" s="514"/>
      <c r="O1124" s="507"/>
    </row>
    <row r="1125" spans="2:16" x14ac:dyDescent="0.35">
      <c r="F1125" s="295" t="s">
        <v>9365</v>
      </c>
      <c r="G1125" s="95"/>
      <c r="H1125" s="95"/>
      <c r="I1125" s="95"/>
      <c r="J1125" s="95"/>
      <c r="K1125" s="95"/>
      <c r="M1125" s="95"/>
      <c r="N1125" s="514"/>
      <c r="O1125" s="507"/>
    </row>
    <row r="1126" spans="2:16" x14ac:dyDescent="0.35">
      <c r="F1126" s="295" t="s">
        <v>9366</v>
      </c>
      <c r="G1126" s="95"/>
      <c r="H1126" s="95"/>
      <c r="I1126" s="95"/>
      <c r="J1126" s="95"/>
      <c r="K1126" s="95"/>
      <c r="M1126" s="95"/>
      <c r="N1126" s="514"/>
      <c r="O1126" s="507"/>
    </row>
    <row r="1127" spans="2:16" x14ac:dyDescent="0.35">
      <c r="F1127" s="295" t="s">
        <v>9367</v>
      </c>
      <c r="G1127" s="95"/>
      <c r="H1127" s="95"/>
      <c r="I1127" s="95"/>
      <c r="J1127" s="95"/>
      <c r="K1127" s="95"/>
      <c r="M1127" s="95"/>
      <c r="N1127" s="514"/>
      <c r="O1127" s="507"/>
    </row>
    <row r="1128" spans="2:16" x14ac:dyDescent="0.35">
      <c r="D1128" t="s">
        <v>0</v>
      </c>
      <c r="F1128" s="295" t="s">
        <v>9368</v>
      </c>
    </row>
    <row r="1129" spans="2:16" x14ac:dyDescent="0.35">
      <c r="F1129" s="295"/>
    </row>
    <row r="1130" spans="2:16" x14ac:dyDescent="0.35">
      <c r="B1130" s="83" t="s">
        <v>5145</v>
      </c>
      <c r="D1130" t="s">
        <v>5150</v>
      </c>
    </row>
    <row r="1131" spans="2:16" x14ac:dyDescent="0.35">
      <c r="D1131" t="s">
        <v>5250</v>
      </c>
    </row>
    <row r="1132" spans="2:16" x14ac:dyDescent="0.35">
      <c r="D1132" t="s">
        <v>5297</v>
      </c>
    </row>
    <row r="1133" spans="2:16" x14ac:dyDescent="0.35">
      <c r="D1133" t="s">
        <v>5298</v>
      </c>
    </row>
    <row r="1134" spans="2:16" x14ac:dyDescent="0.35">
      <c r="D1134" t="s">
        <v>5299</v>
      </c>
    </row>
    <row r="1135" spans="2:16" x14ac:dyDescent="0.35">
      <c r="D1135" t="s">
        <v>5288</v>
      </c>
    </row>
    <row r="1136" spans="2:16" x14ac:dyDescent="0.35">
      <c r="D1136" t="s">
        <v>5289</v>
      </c>
    </row>
    <row r="1137" spans="3:4" x14ac:dyDescent="0.35">
      <c r="D1137" t="s">
        <v>5290</v>
      </c>
    </row>
    <row r="1138" spans="3:4" x14ac:dyDescent="0.35">
      <c r="D1138" t="s">
        <v>5291</v>
      </c>
    </row>
    <row r="1139" spans="3:4" x14ac:dyDescent="0.35">
      <c r="D1139" t="s">
        <v>5292</v>
      </c>
    </row>
    <row r="1140" spans="3:4" x14ac:dyDescent="0.35">
      <c r="D1140" t="s">
        <v>5183</v>
      </c>
    </row>
    <row r="1141" spans="3:4" x14ac:dyDescent="0.35">
      <c r="D1141" t="s">
        <v>5251</v>
      </c>
    </row>
    <row r="1142" spans="3:4" x14ac:dyDescent="0.35">
      <c r="D1142" t="s">
        <v>5184</v>
      </c>
    </row>
    <row r="1143" spans="3:4" x14ac:dyDescent="0.35">
      <c r="D1143" t="s">
        <v>5252</v>
      </c>
    </row>
    <row r="1144" spans="3:4" x14ac:dyDescent="0.35">
      <c r="D1144" t="s">
        <v>5185</v>
      </c>
    </row>
    <row r="1145" spans="3:4" x14ac:dyDescent="0.35">
      <c r="D1145" t="s">
        <v>5253</v>
      </c>
    </row>
    <row r="1146" spans="3:4" x14ac:dyDescent="0.35">
      <c r="D1146" t="s">
        <v>5170</v>
      </c>
    </row>
    <row r="1147" spans="3:4" x14ac:dyDescent="0.35">
      <c r="D1147" t="s">
        <v>5254</v>
      </c>
    </row>
    <row r="1148" spans="3:4" x14ac:dyDescent="0.35">
      <c r="D1148" t="s">
        <v>5255</v>
      </c>
    </row>
    <row r="1149" spans="3:4" x14ac:dyDescent="0.35">
      <c r="D1149" t="s">
        <v>5256</v>
      </c>
    </row>
    <row r="1150" spans="3:4" x14ac:dyDescent="0.35">
      <c r="D1150" t="s">
        <v>5257</v>
      </c>
    </row>
    <row r="1151" spans="3:4" x14ac:dyDescent="0.35">
      <c r="C1151" s="83"/>
      <c r="D1151" t="s">
        <v>5258</v>
      </c>
    </row>
    <row r="1152" spans="3:4" x14ac:dyDescent="0.35">
      <c r="C1152" s="83"/>
      <c r="D1152" t="s">
        <v>5265</v>
      </c>
    </row>
    <row r="1153" spans="4:4" x14ac:dyDescent="0.35">
      <c r="D1153" t="s">
        <v>5266</v>
      </c>
    </row>
    <row r="1154" spans="4:4" x14ac:dyDescent="0.35">
      <c r="D1154" t="s">
        <v>5186</v>
      </c>
    </row>
    <row r="1155" spans="4:4" x14ac:dyDescent="0.35">
      <c r="D1155" t="s">
        <v>5267</v>
      </c>
    </row>
    <row r="1156" spans="4:4" x14ac:dyDescent="0.35">
      <c r="D1156" t="s">
        <v>5268</v>
      </c>
    </row>
    <row r="1157" spans="4:4" x14ac:dyDescent="0.35">
      <c r="D1157" t="s">
        <v>5269</v>
      </c>
    </row>
    <row r="1158" spans="4:4" x14ac:dyDescent="0.35">
      <c r="D1158" t="s">
        <v>5214</v>
      </c>
    </row>
    <row r="1159" spans="4:4" x14ac:dyDescent="0.35">
      <c r="D1159" t="s">
        <v>5213</v>
      </c>
    </row>
    <row r="1160" spans="4:4" x14ac:dyDescent="0.35">
      <c r="D1160" t="s">
        <v>5270</v>
      </c>
    </row>
    <row r="1161" spans="4:4" x14ac:dyDescent="0.35">
      <c r="D1161" t="s">
        <v>5271</v>
      </c>
    </row>
    <row r="1162" spans="4:4" x14ac:dyDescent="0.35">
      <c r="D1162" t="s">
        <v>5215</v>
      </c>
    </row>
    <row r="1163" spans="4:4" x14ac:dyDescent="0.35">
      <c r="D1163" t="s">
        <v>5211</v>
      </c>
    </row>
    <row r="1164" spans="4:4" x14ac:dyDescent="0.35">
      <c r="D1164" t="s">
        <v>5212</v>
      </c>
    </row>
    <row r="1165" spans="4:4" x14ac:dyDescent="0.35">
      <c r="D1165" t="s">
        <v>5272</v>
      </c>
    </row>
    <row r="1166" spans="4:4" x14ac:dyDescent="0.35">
      <c r="D1166" t="s">
        <v>5286</v>
      </c>
    </row>
    <row r="1167" spans="4:4" x14ac:dyDescent="0.35">
      <c r="D1167" t="s">
        <v>5287</v>
      </c>
    </row>
    <row r="1169" spans="2:10" x14ac:dyDescent="0.35">
      <c r="B1169" s="83" t="s">
        <v>5146</v>
      </c>
      <c r="D1169" t="s">
        <v>5151</v>
      </c>
    </row>
    <row r="1170" spans="2:10" x14ac:dyDescent="0.35">
      <c r="D1170" t="s">
        <v>5160</v>
      </c>
    </row>
    <row r="1171" spans="2:10" x14ac:dyDescent="0.35">
      <c r="D1171" t="s">
        <v>5281</v>
      </c>
    </row>
    <row r="1172" spans="2:10" x14ac:dyDescent="0.35">
      <c r="D1172" t="s">
        <v>5280</v>
      </c>
    </row>
    <row r="1173" spans="2:10" x14ac:dyDescent="0.35">
      <c r="D1173" t="s">
        <v>5282</v>
      </c>
    </row>
    <row r="1174" spans="2:10" x14ac:dyDescent="0.35">
      <c r="D1174" t="s">
        <v>0</v>
      </c>
      <c r="E1174" t="s">
        <v>5284</v>
      </c>
      <c r="J1174" s="1" t="s">
        <v>5283</v>
      </c>
    </row>
    <row r="1175" spans="2:10" x14ac:dyDescent="0.35">
      <c r="E1175" t="s">
        <v>5285</v>
      </c>
      <c r="J1175" s="1"/>
    </row>
    <row r="1176" spans="2:10" x14ac:dyDescent="0.35">
      <c r="E1176" t="s">
        <v>5293</v>
      </c>
      <c r="J1176" s="1"/>
    </row>
    <row r="1177" spans="2:10" x14ac:dyDescent="0.35">
      <c r="D1177" t="s">
        <v>5300</v>
      </c>
      <c r="J1177" s="1"/>
    </row>
    <row r="1178" spans="2:10" x14ac:dyDescent="0.35">
      <c r="E1178" t="s">
        <v>5303</v>
      </c>
      <c r="J1178" s="1"/>
    </row>
    <row r="1179" spans="2:10" x14ac:dyDescent="0.35">
      <c r="E1179" t="s">
        <v>5301</v>
      </c>
      <c r="J1179" s="1"/>
    </row>
    <row r="1180" spans="2:10" x14ac:dyDescent="0.35">
      <c r="E1180" t="s">
        <v>5302</v>
      </c>
      <c r="J1180" s="1"/>
    </row>
    <row r="1181" spans="2:10" x14ac:dyDescent="0.35">
      <c r="E1181" t="s">
        <v>5304</v>
      </c>
      <c r="J1181" s="1"/>
    </row>
    <row r="1182" spans="2:10" x14ac:dyDescent="0.35">
      <c r="E1182" t="s">
        <v>5305</v>
      </c>
      <c r="J1182" s="1"/>
    </row>
    <row r="1183" spans="2:10" x14ac:dyDescent="0.35">
      <c r="D1183" t="s">
        <v>5296</v>
      </c>
      <c r="J1183" s="1"/>
    </row>
    <row r="1184" spans="2:10" x14ac:dyDescent="0.35">
      <c r="D1184" t="s">
        <v>5294</v>
      </c>
      <c r="J1184" s="1"/>
    </row>
    <row r="1185" spans="2:10" x14ac:dyDescent="0.35">
      <c r="D1185" t="s">
        <v>5295</v>
      </c>
      <c r="J1185" s="1"/>
    </row>
    <row r="1186" spans="2:10" x14ac:dyDescent="0.35">
      <c r="E1186" s="295" t="s">
        <v>9369</v>
      </c>
      <c r="J1186" s="1"/>
    </row>
    <row r="1187" spans="2:10" x14ac:dyDescent="0.35">
      <c r="E1187" s="295" t="s">
        <v>9370</v>
      </c>
      <c r="J1187" s="1"/>
    </row>
    <row r="1188" spans="2:10" x14ac:dyDescent="0.35">
      <c r="D1188" t="s">
        <v>5147</v>
      </c>
    </row>
    <row r="1189" spans="2:10" x14ac:dyDescent="0.35">
      <c r="D1189" t="s">
        <v>5148</v>
      </c>
    </row>
    <row r="1190" spans="2:10" x14ac:dyDescent="0.35">
      <c r="D1190" t="s">
        <v>5159</v>
      </c>
    </row>
    <row r="1191" spans="2:10" x14ac:dyDescent="0.35">
      <c r="D1191" t="s">
        <v>5149</v>
      </c>
    </row>
    <row r="1192" spans="2:10" x14ac:dyDescent="0.35">
      <c r="D1192" t="s">
        <v>5161</v>
      </c>
    </row>
    <row r="1193" spans="2:10" x14ac:dyDescent="0.35">
      <c r="D1193" t="s">
        <v>5154</v>
      </c>
    </row>
    <row r="1194" spans="2:10" x14ac:dyDescent="0.35">
      <c r="D1194" t="s">
        <v>5273</v>
      </c>
    </row>
    <row r="1195" spans="2:10" x14ac:dyDescent="0.35">
      <c r="D1195" t="s">
        <v>5157</v>
      </c>
    </row>
    <row r="1196" spans="2:10" x14ac:dyDescent="0.35">
      <c r="D1196" t="s">
        <v>5163</v>
      </c>
    </row>
    <row r="1198" spans="2:10" x14ac:dyDescent="0.35">
      <c r="B1198" s="83" t="s">
        <v>5176</v>
      </c>
    </row>
    <row r="1199" spans="2:10" x14ac:dyDescent="0.35">
      <c r="D1199" t="s">
        <v>5164</v>
      </c>
    </row>
    <row r="1200" spans="2:10" x14ac:dyDescent="0.35">
      <c r="E1200" t="s">
        <v>5274</v>
      </c>
    </row>
    <row r="1201" spans="2:25" x14ac:dyDescent="0.35">
      <c r="E1201" t="s">
        <v>5169</v>
      </c>
    </row>
    <row r="1203" spans="2:25" ht="24.5" x14ac:dyDescent="0.35">
      <c r="H1203" s="297" t="s">
        <v>5205</v>
      </c>
      <c r="I1203" s="297" t="s">
        <v>5205</v>
      </c>
      <c r="J1203" s="297" t="s">
        <v>5245</v>
      </c>
      <c r="K1203" s="297" t="s">
        <v>5245</v>
      </c>
      <c r="L1203" s="297" t="s">
        <v>5245</v>
      </c>
      <c r="N1203" s="297" t="s">
        <v>5205</v>
      </c>
      <c r="O1203" s="297" t="s">
        <v>5245</v>
      </c>
      <c r="P1203" s="297" t="s">
        <v>5205</v>
      </c>
      <c r="Q1203" s="297" t="s">
        <v>5205</v>
      </c>
      <c r="S1203" s="297" t="s">
        <v>5205</v>
      </c>
      <c r="T1203" s="297" t="s">
        <v>5205</v>
      </c>
      <c r="U1203" s="297" t="s">
        <v>5205</v>
      </c>
    </row>
    <row r="1204" spans="2:25" ht="26.5" customHeight="1" x14ac:dyDescent="0.35">
      <c r="D1204" s="123" t="s">
        <v>5179</v>
      </c>
      <c r="E1204" s="123" t="s">
        <v>5177</v>
      </c>
      <c r="F1204" s="123" t="s">
        <v>5172</v>
      </c>
      <c r="G1204" s="513"/>
      <c r="H1204" s="123" t="s">
        <v>5173</v>
      </c>
      <c r="I1204" s="123" t="s">
        <v>5203</v>
      </c>
      <c r="J1204" s="123" t="s">
        <v>5174</v>
      </c>
      <c r="K1204" s="123" t="s">
        <v>5204</v>
      </c>
      <c r="L1204" s="123" t="s">
        <v>5175</v>
      </c>
      <c r="N1204" s="123" t="s">
        <v>5241</v>
      </c>
      <c r="O1204" s="123" t="s">
        <v>5242</v>
      </c>
      <c r="P1204" s="123" t="s">
        <v>5243</v>
      </c>
      <c r="Q1204" s="123" t="s">
        <v>5244</v>
      </c>
      <c r="S1204" s="123" t="s">
        <v>5259</v>
      </c>
      <c r="T1204" s="123" t="s">
        <v>5261</v>
      </c>
      <c r="U1204" s="123" t="s">
        <v>5262</v>
      </c>
      <c r="W1204" s="123" t="s">
        <v>5171</v>
      </c>
      <c r="X1204" s="4"/>
      <c r="Y1204" s="4"/>
    </row>
    <row r="1205" spans="2:25" x14ac:dyDescent="0.35">
      <c r="D1205">
        <v>54</v>
      </c>
      <c r="E1205" s="73" t="s">
        <v>5178</v>
      </c>
      <c r="F1205" s="162">
        <v>18000</v>
      </c>
      <c r="H1205">
        <v>164</v>
      </c>
      <c r="I1205">
        <v>153</v>
      </c>
      <c r="J1205" s="53">
        <v>0.8</v>
      </c>
      <c r="K1205">
        <f>I1205*J1205</f>
        <v>122.4</v>
      </c>
      <c r="L1205" s="53">
        <f>K1205/H1205</f>
        <v>0.74634146341463414</v>
      </c>
      <c r="N1205">
        <v>9.2999999999999999E-2</v>
      </c>
      <c r="O1205" s="13">
        <f>H1205-I1205-N1205</f>
        <v>10.907</v>
      </c>
      <c r="P1205" s="12">
        <v>0.6</v>
      </c>
      <c r="Q1205" s="13">
        <v>2</v>
      </c>
      <c r="S1205">
        <v>52.5</v>
      </c>
      <c r="T1205" s="313" t="s">
        <v>5264</v>
      </c>
      <c r="U1205">
        <v>2.9</v>
      </c>
      <c r="W1205" s="295" t="s">
        <v>5240</v>
      </c>
    </row>
    <row r="1206" spans="2:25" x14ac:dyDescent="0.35">
      <c r="D1206">
        <v>16</v>
      </c>
      <c r="E1206" s="73" t="s">
        <v>5178</v>
      </c>
      <c r="F1206" s="162">
        <v>4000</v>
      </c>
      <c r="H1206">
        <v>59</v>
      </c>
      <c r="I1206">
        <v>52</v>
      </c>
      <c r="J1206" s="53">
        <v>0.8</v>
      </c>
      <c r="K1206">
        <f>I1206*J1206</f>
        <v>41.6</v>
      </c>
      <c r="L1206" s="53">
        <f>K1206/H1206</f>
        <v>0.70508474576271185</v>
      </c>
      <c r="N1206">
        <v>0.13300000000000001</v>
      </c>
      <c r="O1206" s="13">
        <f>H1206-I1206-N1206</f>
        <v>6.867</v>
      </c>
      <c r="P1206" s="12">
        <v>0.05</v>
      </c>
      <c r="Q1206">
        <v>2.2999999999999998</v>
      </c>
      <c r="S1206" s="73">
        <v>14.5</v>
      </c>
      <c r="T1206" s="313" t="s">
        <v>5264</v>
      </c>
      <c r="U1206">
        <v>3.6</v>
      </c>
      <c r="W1206" s="295" t="s">
        <v>122</v>
      </c>
    </row>
    <row r="1207" spans="2:25" x14ac:dyDescent="0.35">
      <c r="D1207" t="s">
        <v>5248</v>
      </c>
      <c r="E1207" s="73" t="s">
        <v>5246</v>
      </c>
      <c r="F1207" s="162">
        <v>24000</v>
      </c>
      <c r="H1207">
        <v>96</v>
      </c>
      <c r="I1207">
        <v>76</v>
      </c>
      <c r="J1207" s="53">
        <v>0.8</v>
      </c>
      <c r="K1207">
        <f>I1207*J1207</f>
        <v>60.800000000000004</v>
      </c>
      <c r="L1207" s="53">
        <f>K1207/H1207</f>
        <v>0.63333333333333341</v>
      </c>
      <c r="N1207" s="10">
        <v>1</v>
      </c>
      <c r="O1207" s="13">
        <f>H1207-I1207-N1207</f>
        <v>19</v>
      </c>
      <c r="P1207" s="12">
        <v>3.6</v>
      </c>
      <c r="Q1207" s="12">
        <v>3</v>
      </c>
      <c r="S1207" s="73" t="s">
        <v>5263</v>
      </c>
      <c r="T1207">
        <v>200</v>
      </c>
      <c r="U1207">
        <v>50</v>
      </c>
      <c r="W1207" s="295" t="s">
        <v>122</v>
      </c>
    </row>
    <row r="1208" spans="2:25" x14ac:dyDescent="0.35">
      <c r="D1208" t="s">
        <v>5247</v>
      </c>
      <c r="E1208" s="73" t="s">
        <v>5246</v>
      </c>
      <c r="F1208" s="162">
        <v>48000</v>
      </c>
      <c r="H1208">
        <v>98</v>
      </c>
      <c r="I1208">
        <v>83</v>
      </c>
      <c r="J1208" s="53">
        <v>0.8</v>
      </c>
      <c r="K1208">
        <f>I1208*J1208</f>
        <v>66.400000000000006</v>
      </c>
      <c r="L1208" s="53">
        <f>K1208/H1208</f>
        <v>0.67755102040816328</v>
      </c>
      <c r="N1208" s="10">
        <v>0.6</v>
      </c>
      <c r="O1208" s="13">
        <f>H1208-I1208-N1208</f>
        <v>14.4</v>
      </c>
      <c r="P1208" s="12">
        <v>13</v>
      </c>
      <c r="Q1208" s="12">
        <v>16</v>
      </c>
      <c r="S1208" s="73" t="s">
        <v>5260</v>
      </c>
      <c r="T1208">
        <v>100</v>
      </c>
      <c r="U1208">
        <v>90</v>
      </c>
      <c r="W1208" s="295" t="s">
        <v>122</v>
      </c>
    </row>
    <row r="1210" spans="2:25" x14ac:dyDescent="0.35">
      <c r="B1210" s="83" t="s">
        <v>5165</v>
      </c>
    </row>
    <row r="1211" spans="2:25" x14ac:dyDescent="0.35">
      <c r="D1211" t="s">
        <v>5275</v>
      </c>
    </row>
    <row r="1212" spans="2:25" x14ac:dyDescent="0.35">
      <c r="D1212" t="s">
        <v>5168</v>
      </c>
    </row>
    <row r="1213" spans="2:25" x14ac:dyDescent="0.35">
      <c r="D1213" t="s">
        <v>5167</v>
      </c>
    </row>
    <row r="1214" spans="2:25" x14ac:dyDescent="0.35">
      <c r="D1214" t="s">
        <v>5276</v>
      </c>
    </row>
    <row r="1215" spans="2:25" x14ac:dyDescent="0.35">
      <c r="D1215" t="s">
        <v>5277</v>
      </c>
    </row>
    <row r="1216" spans="2:25" x14ac:dyDescent="0.35">
      <c r="D1216" t="s">
        <v>5166</v>
      </c>
    </row>
    <row r="1217" spans="2:18" ht="15" customHeight="1" x14ac:dyDescent="0.35"/>
    <row r="1218" spans="2:18" x14ac:dyDescent="0.35">
      <c r="B1218" s="83" t="s">
        <v>5100</v>
      </c>
      <c r="D1218" s="95" t="s">
        <v>5143</v>
      </c>
      <c r="E1218" s="95"/>
      <c r="F1218" s="95"/>
      <c r="G1218" s="95"/>
      <c r="H1218" s="95"/>
      <c r="I1218" s="95"/>
      <c r="J1218" s="95"/>
      <c r="K1218" s="95"/>
      <c r="L1218" s="509"/>
      <c r="M1218" s="95"/>
      <c r="N1218" s="509"/>
      <c r="O1218" s="507"/>
      <c r="P1218" s="1"/>
      <c r="R1218" t="s">
        <v>0</v>
      </c>
    </row>
    <row r="1219" spans="2:18" x14ac:dyDescent="0.35">
      <c r="D1219" s="95"/>
      <c r="E1219" s="95"/>
      <c r="F1219" s="95"/>
      <c r="G1219" s="95"/>
      <c r="H1219" s="95"/>
      <c r="J1219" s="512" t="s">
        <v>5103</v>
      </c>
      <c r="K1219" s="95"/>
      <c r="L1219" s="509"/>
      <c r="M1219" s="95"/>
      <c r="N1219" s="509"/>
      <c r="O1219" s="507"/>
      <c r="P1219" s="1"/>
      <c r="R1219" t="s">
        <v>0</v>
      </c>
    </row>
    <row r="1220" spans="2:18" ht="24.5" x14ac:dyDescent="0.35">
      <c r="D1220" s="123" t="s">
        <v>2959</v>
      </c>
      <c r="E1220" s="123" t="s">
        <v>5101</v>
      </c>
      <c r="F1220" s="123" t="s">
        <v>5102</v>
      </c>
      <c r="G1220" s="123" t="s">
        <v>5142</v>
      </c>
      <c r="I1220" s="123" t="s">
        <v>5106</v>
      </c>
      <c r="J1220" s="123" t="s">
        <v>5104</v>
      </c>
      <c r="K1220" s="123" t="s">
        <v>5105</v>
      </c>
      <c r="M1220" s="123" t="s">
        <v>5278</v>
      </c>
      <c r="N1220" s="123" t="s">
        <v>5279</v>
      </c>
      <c r="O1220" s="507"/>
      <c r="P1220" s="1"/>
      <c r="R1220" t="s">
        <v>0</v>
      </c>
    </row>
    <row r="1221" spans="2:18" x14ac:dyDescent="0.35">
      <c r="D1221" s="398">
        <v>16</v>
      </c>
      <c r="E1221" s="510">
        <v>6</v>
      </c>
      <c r="F1221" s="510">
        <v>33</v>
      </c>
      <c r="G1221" s="423">
        <f>SUM(E1221:F1221)</f>
        <v>39</v>
      </c>
      <c r="H1221" s="95"/>
      <c r="I1221" s="98">
        <f>D1221/G1221</f>
        <v>0.41025641025641024</v>
      </c>
      <c r="J1221" s="98">
        <f t="shared" ref="J1221:K1224" si="28">$I1221*E1221</f>
        <v>2.4615384615384617</v>
      </c>
      <c r="K1221" s="423">
        <f t="shared" si="28"/>
        <v>13.538461538461538</v>
      </c>
      <c r="L1221" s="509"/>
      <c r="M1221" s="423">
        <v>6.2</v>
      </c>
      <c r="N1221">
        <f>M1221/(E1221/(SUM(E1221:F1221)))</f>
        <v>40.299999999999997</v>
      </c>
      <c r="O1221" s="507"/>
      <c r="P1221" s="1"/>
      <c r="R1221" t="s">
        <v>0</v>
      </c>
    </row>
    <row r="1222" spans="2:18" x14ac:dyDescent="0.35">
      <c r="D1222" s="398">
        <v>375</v>
      </c>
      <c r="E1222" s="423">
        <f>E1221</f>
        <v>6</v>
      </c>
      <c r="F1222" s="423">
        <f t="shared" ref="F1222:F1224" si="29">F1221</f>
        <v>33</v>
      </c>
      <c r="G1222" s="423">
        <f>SUM(E1222:F1222)</f>
        <v>39</v>
      </c>
      <c r="H1222" s="95"/>
      <c r="I1222" s="98">
        <f>D1222/G1222</f>
        <v>9.615384615384615</v>
      </c>
      <c r="J1222" s="98">
        <f t="shared" si="28"/>
        <v>57.692307692307693</v>
      </c>
      <c r="K1222" s="98">
        <f t="shared" si="28"/>
        <v>317.30769230769232</v>
      </c>
      <c r="L1222" s="509"/>
      <c r="M1222" s="509"/>
      <c r="O1222" s="507"/>
      <c r="P1222" s="1"/>
      <c r="R1222" t="s">
        <v>0</v>
      </c>
    </row>
    <row r="1223" spans="2:18" x14ac:dyDescent="0.35">
      <c r="D1223" s="95">
        <f>D1221</f>
        <v>16</v>
      </c>
      <c r="E1223" s="510">
        <v>10</v>
      </c>
      <c r="F1223" s="510">
        <v>1</v>
      </c>
      <c r="G1223" s="423">
        <f>SUM(E1223:F1223)</f>
        <v>11</v>
      </c>
      <c r="H1223" s="95"/>
      <c r="I1223" s="98">
        <f>D1223/G1223</f>
        <v>1.4545454545454546</v>
      </c>
      <c r="J1223" s="98">
        <f t="shared" si="28"/>
        <v>14.545454545454547</v>
      </c>
      <c r="K1223" s="423">
        <f t="shared" si="28"/>
        <v>1.4545454545454546</v>
      </c>
      <c r="L1223" s="509"/>
      <c r="M1223" s="509"/>
      <c r="O1223" s="507"/>
      <c r="P1223" s="1"/>
      <c r="R1223" t="s">
        <v>0</v>
      </c>
    </row>
    <row r="1224" spans="2:18" x14ac:dyDescent="0.35">
      <c r="D1224" s="95">
        <f>D1222</f>
        <v>375</v>
      </c>
      <c r="E1224" s="423">
        <f>E1223</f>
        <v>10</v>
      </c>
      <c r="F1224" s="423">
        <f t="shared" si="29"/>
        <v>1</v>
      </c>
      <c r="G1224" s="423">
        <f>SUM(E1224:F1224)</f>
        <v>11</v>
      </c>
      <c r="H1224" s="95"/>
      <c r="I1224" s="98">
        <f>D1224/G1224</f>
        <v>34.090909090909093</v>
      </c>
      <c r="J1224" s="98">
        <f t="shared" si="28"/>
        <v>340.90909090909093</v>
      </c>
      <c r="K1224" s="423">
        <f t="shared" si="28"/>
        <v>34.090909090909093</v>
      </c>
      <c r="L1224" s="509"/>
      <c r="M1224" s="509"/>
      <c r="O1224" s="507"/>
      <c r="P1224" s="1"/>
    </row>
    <row r="1225" spans="2:18" x14ac:dyDescent="0.35">
      <c r="D1225" s="95"/>
      <c r="E1225" s="95"/>
      <c r="F1225" s="95"/>
      <c r="G1225" s="95"/>
      <c r="H1225" s="95"/>
      <c r="I1225" s="95"/>
      <c r="J1225" s="95"/>
      <c r="K1225" s="95"/>
      <c r="L1225" s="509"/>
      <c r="M1225" s="95"/>
      <c r="N1225" s="509"/>
      <c r="O1225" s="507"/>
      <c r="P1225" s="1"/>
    </row>
    <row r="1226" spans="2:18" ht="39.5" x14ac:dyDescent="0.35">
      <c r="B1226" s="83" t="s">
        <v>5224</v>
      </c>
      <c r="D1226" s="188" t="s">
        <v>2042</v>
      </c>
      <c r="E1226" s="188" t="s">
        <v>2051</v>
      </c>
      <c r="F1226" s="188" t="s">
        <v>2043</v>
      </c>
      <c r="G1226" s="188" t="s">
        <v>2045</v>
      </c>
      <c r="H1226" s="188" t="s">
        <v>2044</v>
      </c>
      <c r="J1226" s="188" t="s">
        <v>5220</v>
      </c>
      <c r="K1226" s="188" t="s">
        <v>5221</v>
      </c>
      <c r="L1226" s="188" t="s">
        <v>5222</v>
      </c>
      <c r="M1226" s="188" t="s">
        <v>5223</v>
      </c>
      <c r="O1226" s="188" t="s">
        <v>5218</v>
      </c>
      <c r="P1226" s="188" t="s">
        <v>5219</v>
      </c>
    </row>
    <row r="1227" spans="2:18" x14ac:dyDescent="0.35">
      <c r="D1227" s="398">
        <v>3</v>
      </c>
      <c r="E1227" s="13">
        <v>2</v>
      </c>
      <c r="F1227">
        <v>1</v>
      </c>
      <c r="G1227" s="12">
        <f>(F1227*0.001)*D1227</f>
        <v>3.0000000000000001E-3</v>
      </c>
      <c r="H1227" s="13">
        <f>((F1227*0.001)^2*D1227)*1000</f>
        <v>3.0000000000000001E-3</v>
      </c>
      <c r="J1227" s="53">
        <v>1</v>
      </c>
      <c r="K1227">
        <f t="shared" ref="K1227" si="30">J1227*F1227</f>
        <v>1</v>
      </c>
      <c r="L1227" s="12">
        <f>J1227*G1227</f>
        <v>3.0000000000000001E-3</v>
      </c>
      <c r="M1227" s="13">
        <f t="shared" ref="M1227" si="31">J1227*H1227</f>
        <v>3.0000000000000001E-3</v>
      </c>
      <c r="O1227" s="518">
        <f t="shared" ref="O1227:O1228" si="32">M1227*$E$299</f>
        <v>3.9419999999999997E-6</v>
      </c>
      <c r="P1227" s="517">
        <f t="shared" ref="P1227:P1229" si="33">O1227*30</f>
        <v>1.1826E-4</v>
      </c>
    </row>
    <row r="1228" spans="2:18" x14ac:dyDescent="0.35">
      <c r="D1228" s="15">
        <f>D1227</f>
        <v>3</v>
      </c>
      <c r="E1228" s="13">
        <v>2</v>
      </c>
      <c r="F1228">
        <v>4</v>
      </c>
      <c r="G1228" s="12">
        <f>(F1228*0.001)*D1228</f>
        <v>1.2E-2</v>
      </c>
      <c r="H1228" s="13">
        <f>((F1228*0.001)^2*D1228)*1000</f>
        <v>4.8000000000000001E-2</v>
      </c>
      <c r="J1228" s="55">
        <v>2.7E-2</v>
      </c>
      <c r="K1228">
        <f t="shared" ref="K1228" si="34">J1228*F1228</f>
        <v>0.108</v>
      </c>
      <c r="L1228" s="12">
        <f>J1228*G1228</f>
        <v>3.2400000000000001E-4</v>
      </c>
      <c r="M1228" s="13">
        <f t="shared" ref="M1228" si="35">J1228*H1228</f>
        <v>1.2960000000000001E-3</v>
      </c>
      <c r="O1228" s="518">
        <f t="shared" si="32"/>
        <v>1.702944E-6</v>
      </c>
      <c r="P1228" s="517">
        <f t="shared" si="33"/>
        <v>5.1088319999999998E-5</v>
      </c>
    </row>
    <row r="1229" spans="2:18" x14ac:dyDescent="0.35">
      <c r="D1229" s="15">
        <f>D1228</f>
        <v>3</v>
      </c>
      <c r="E1229" s="13">
        <v>2</v>
      </c>
      <c r="F1229">
        <v>16</v>
      </c>
      <c r="G1229" s="12">
        <f>(F1229*0.001)*D1229</f>
        <v>4.8000000000000001E-2</v>
      </c>
      <c r="H1229" s="13">
        <f>((F1229*0.001)^2*D1229)*1000</f>
        <v>0.76800000000000002</v>
      </c>
      <c r="J1229" s="55">
        <v>2.7E-2</v>
      </c>
      <c r="K1229">
        <f t="shared" ref="K1229" si="36">J1229*F1229</f>
        <v>0.432</v>
      </c>
      <c r="L1229" s="12">
        <f>J1229*G1229</f>
        <v>1.2960000000000001E-3</v>
      </c>
      <c r="M1229" s="13">
        <f t="shared" ref="M1229" si="37">J1229*H1229</f>
        <v>2.0736000000000001E-2</v>
      </c>
      <c r="O1229" s="518">
        <f t="shared" ref="O1229" si="38">M1229*$E$299</f>
        <v>2.7247104E-5</v>
      </c>
      <c r="P1229" s="517">
        <f t="shared" si="33"/>
        <v>8.1741311999999997E-4</v>
      </c>
    </row>
    <row r="1230" spans="2:18" x14ac:dyDescent="0.35">
      <c r="D1230" s="13"/>
      <c r="E1230" s="13"/>
      <c r="F1230" s="13"/>
      <c r="H1230" s="12"/>
      <c r="I1230" s="13"/>
      <c r="K1230" s="55"/>
      <c r="M1230" s="12"/>
      <c r="N1230" s="13"/>
      <c r="P1230" s="185"/>
      <c r="Q1230" s="9"/>
      <c r="R1230" s="515"/>
    </row>
    <row r="1231" spans="2:18" x14ac:dyDescent="0.35">
      <c r="B1231" s="83" t="s">
        <v>5225</v>
      </c>
      <c r="D1231" s="123" t="s">
        <v>5227</v>
      </c>
      <c r="E1231" s="123" t="s">
        <v>5226</v>
      </c>
      <c r="F1231" s="516" t="s">
        <v>2397</v>
      </c>
      <c r="H1231" s="12"/>
      <c r="I1231" s="13"/>
      <c r="K1231" s="55"/>
      <c r="M1231" s="12"/>
      <c r="N1231" s="13"/>
      <c r="P1231" s="185"/>
      <c r="Q1231" s="9"/>
      <c r="R1231" s="515"/>
    </row>
    <row r="1232" spans="2:18" x14ac:dyDescent="0.35">
      <c r="D1232" s="13">
        <v>5</v>
      </c>
      <c r="E1232" s="13">
        <v>10000</v>
      </c>
      <c r="F1232" s="13">
        <f>1/(6.2*D1232*1000000*E1232*0.000000000001)</f>
        <v>3.2258064516129035</v>
      </c>
      <c r="H1232" s="12"/>
      <c r="I1232" s="13"/>
      <c r="K1232" s="55"/>
      <c r="M1232" s="12"/>
      <c r="N1232" s="13"/>
      <c r="P1232" s="185"/>
      <c r="Q1232" s="9"/>
      <c r="R1232" s="515"/>
    </row>
    <row r="1233" spans="2:22" x14ac:dyDescent="0.35">
      <c r="D1233" s="13"/>
      <c r="E1233" s="13"/>
      <c r="F1233" s="13"/>
      <c r="H1233" s="12"/>
      <c r="I1233" s="13"/>
      <c r="J1233" s="185"/>
      <c r="K1233" s="9"/>
    </row>
    <row r="1234" spans="2:22" x14ac:dyDescent="0.35">
      <c r="B1234" s="83" t="s">
        <v>5153</v>
      </c>
      <c r="D1234" s="170"/>
      <c r="O1234" s="73"/>
      <c r="P1234" s="1"/>
    </row>
    <row r="1235" spans="2:22" x14ac:dyDescent="0.35">
      <c r="D1235" t="s">
        <v>5187</v>
      </c>
      <c r="L1235" s="1"/>
      <c r="N1235" s="1"/>
      <c r="O1235" s="73"/>
      <c r="P1235" s="1"/>
    </row>
    <row r="1236" spans="2:22" x14ac:dyDescent="0.35">
      <c r="D1236" t="s">
        <v>5152</v>
      </c>
      <c r="L1236" s="1"/>
      <c r="N1236" s="1"/>
      <c r="O1236" s="73"/>
      <c r="P1236" t="s">
        <v>3164</v>
      </c>
      <c r="Q1236" s="309" t="s">
        <v>4082</v>
      </c>
    </row>
    <row r="1237" spans="2:22" x14ac:dyDescent="0.35">
      <c r="L1237" s="1"/>
      <c r="N1237" s="1"/>
      <c r="O1237" s="73"/>
      <c r="P1237" s="309"/>
    </row>
    <row r="1238" spans="2:22" x14ac:dyDescent="0.35">
      <c r="D1238" s="123" t="s">
        <v>5075</v>
      </c>
      <c r="E1238" s="123" t="s">
        <v>5076</v>
      </c>
      <c r="F1238" s="123" t="s">
        <v>5077</v>
      </c>
      <c r="G1238" s="123" t="s">
        <v>1834</v>
      </c>
      <c r="K1238" s="505"/>
      <c r="O1238" s="73"/>
      <c r="P1238" s="1"/>
    </row>
    <row r="1239" spans="2:22" x14ac:dyDescent="0.35">
      <c r="D1239">
        <v>200</v>
      </c>
      <c r="E1239">
        <v>2E-3</v>
      </c>
      <c r="F1239">
        <v>20</v>
      </c>
      <c r="G1239" s="11">
        <f>1000*(F1239*0.000000000001)*D1239/E1239</f>
        <v>2E-3</v>
      </c>
      <c r="L1239" s="1"/>
      <c r="N1239" s="1"/>
      <c r="O1239" s="73"/>
      <c r="P1239" s="1"/>
    </row>
    <row r="1240" spans="2:22" x14ac:dyDescent="0.35">
      <c r="G1240" s="11"/>
      <c r="L1240" s="1"/>
      <c r="N1240" s="1"/>
      <c r="O1240" s="73"/>
      <c r="P1240" s="1"/>
    </row>
    <row r="1241" spans="2:22" ht="24.5" x14ac:dyDescent="0.35">
      <c r="B1241" s="83" t="s">
        <v>5192</v>
      </c>
      <c r="D1241" s="123" t="s">
        <v>5194</v>
      </c>
      <c r="E1241" s="123" t="s">
        <v>5195</v>
      </c>
      <c r="F1241" s="123" t="s">
        <v>5196</v>
      </c>
      <c r="G1241" s="123" t="s">
        <v>5197</v>
      </c>
      <c r="H1241" s="123" t="s">
        <v>5174</v>
      </c>
      <c r="I1241" s="123" t="s">
        <v>5198</v>
      </c>
      <c r="J1241" s="123" t="s">
        <v>5199</v>
      </c>
      <c r="K1241" s="123" t="s">
        <v>5200</v>
      </c>
      <c r="L1241" s="123" t="s">
        <v>5201</v>
      </c>
      <c r="M1241" s="123" t="s">
        <v>5193</v>
      </c>
      <c r="N1241" s="509"/>
      <c r="O1241" t="s">
        <v>3164</v>
      </c>
      <c r="P1241" s="309" t="s">
        <v>4082</v>
      </c>
      <c r="R1241" s="309" t="s">
        <v>5202</v>
      </c>
      <c r="V1241" s="1"/>
    </row>
    <row r="1242" spans="2:22" x14ac:dyDescent="0.35">
      <c r="D1242">
        <v>20</v>
      </c>
      <c r="E1242">
        <f>3.3*1</f>
        <v>3.3</v>
      </c>
      <c r="F1242">
        <v>16</v>
      </c>
      <c r="G1242" s="15">
        <f>F1242*E1242</f>
        <v>52.8</v>
      </c>
      <c r="H1242" s="53">
        <v>0.8</v>
      </c>
      <c r="I1242">
        <f>G1242/H1242</f>
        <v>65.999999999999986</v>
      </c>
      <c r="J1242">
        <f>I1242/D1242</f>
        <v>3.2999999999999994</v>
      </c>
      <c r="K1242">
        <v>8.8000000000000007</v>
      </c>
      <c r="L1242" s="162">
        <v>10</v>
      </c>
      <c r="M1242" s="13">
        <f>J1242*0.001*L1242*0.001/(K1242*0.000001)</f>
        <v>3.7499999999999991</v>
      </c>
      <c r="N1242" s="509"/>
      <c r="P1242" s="11"/>
      <c r="U1242" s="1"/>
      <c r="V1242" s="1"/>
    </row>
    <row r="1243" spans="2:22" x14ac:dyDescent="0.35">
      <c r="D1243">
        <v>20</v>
      </c>
      <c r="E1243">
        <f>3.3*1</f>
        <v>3.3</v>
      </c>
      <c r="F1243">
        <v>16</v>
      </c>
      <c r="G1243" s="15">
        <f>F1243*E1243</f>
        <v>52.8</v>
      </c>
      <c r="H1243" s="53">
        <v>0.8</v>
      </c>
      <c r="I1243">
        <f>G1243/H1243</f>
        <v>65.999999999999986</v>
      </c>
      <c r="J1243">
        <f>I1243/D1243</f>
        <v>3.2999999999999994</v>
      </c>
      <c r="K1243">
        <v>4.4000000000000004</v>
      </c>
      <c r="L1243" s="162">
        <v>10</v>
      </c>
      <c r="M1243" s="13">
        <f>J1243*0.001*L1243*0.001/(K1243*0.000001)</f>
        <v>7.4999999999999982</v>
      </c>
      <c r="N1243" s="509"/>
      <c r="P1243" s="11"/>
      <c r="U1243" s="1"/>
      <c r="V1243" s="1"/>
    </row>
    <row r="1244" spans="2:22" x14ac:dyDescent="0.35">
      <c r="G1244" s="11"/>
      <c r="L1244" s="1"/>
      <c r="N1244" s="1"/>
      <c r="O1244" s="73"/>
      <c r="P1244" s="1"/>
    </row>
    <row r="1245" spans="2:22" x14ac:dyDescent="0.35">
      <c r="B1245" s="83" t="s">
        <v>4414</v>
      </c>
      <c r="D1245" s="95" t="s">
        <v>5132</v>
      </c>
      <c r="E1245" s="95"/>
      <c r="F1245" s="95"/>
      <c r="G1245" s="95"/>
      <c r="H1245" s="95"/>
      <c r="I1245" s="95"/>
      <c r="J1245" s="95"/>
      <c r="K1245" s="95"/>
      <c r="L1245" s="509"/>
      <c r="M1245" s="95"/>
      <c r="N1245" s="509"/>
      <c r="O1245" s="507"/>
      <c r="P1245" s="1"/>
    </row>
    <row r="1246" spans="2:22" x14ac:dyDescent="0.35">
      <c r="D1246" s="95" t="s">
        <v>5131</v>
      </c>
      <c r="E1246" s="95"/>
      <c r="F1246" s="95"/>
      <c r="G1246" s="95"/>
      <c r="H1246" s="95"/>
      <c r="I1246" s="95"/>
      <c r="J1246" s="95"/>
      <c r="K1246" s="95"/>
      <c r="L1246" s="509"/>
      <c r="M1246" s="95"/>
      <c r="N1246" s="509"/>
      <c r="O1246" s="507"/>
      <c r="P1246" s="1"/>
    </row>
    <row r="1247" spans="2:22" x14ac:dyDescent="0.35">
      <c r="D1247" s="95" t="s">
        <v>5139</v>
      </c>
      <c r="E1247" s="95"/>
      <c r="F1247" s="95"/>
      <c r="H1247" s="95"/>
      <c r="I1247" s="95"/>
      <c r="K1247" s="95"/>
      <c r="L1247" s="509"/>
      <c r="M1247" s="95"/>
      <c r="N1247" s="509"/>
      <c r="O1247" s="507"/>
      <c r="P1247" s="1"/>
      <c r="Q1247" s="95"/>
      <c r="R1247" s="1" t="s">
        <v>5114</v>
      </c>
      <c r="T1247" t="s">
        <v>0</v>
      </c>
    </row>
    <row r="1248" spans="2:22" x14ac:dyDescent="0.35">
      <c r="D1248" s="95" t="s">
        <v>5140</v>
      </c>
      <c r="S1248" s="95"/>
      <c r="T1248" s="95" t="s">
        <v>0</v>
      </c>
      <c r="U1248" s="95" t="s">
        <v>0</v>
      </c>
    </row>
    <row r="1249" spans="1:21" x14ac:dyDescent="0.35">
      <c r="D1249" s="95" t="s">
        <v>5141</v>
      </c>
      <c r="E1249" s="95"/>
      <c r="F1249" s="95"/>
      <c r="H1249" s="95"/>
      <c r="I1249" s="95"/>
      <c r="K1249" s="95"/>
      <c r="L1249" s="509"/>
      <c r="M1249" s="95"/>
      <c r="N1249" s="509"/>
      <c r="O1249" s="507"/>
      <c r="P1249" s="1"/>
      <c r="Q1249" s="95"/>
      <c r="R1249" s="1"/>
      <c r="S1249" s="95"/>
      <c r="T1249" s="95"/>
      <c r="U1249" s="95"/>
    </row>
    <row r="1250" spans="1:21" x14ac:dyDescent="0.35">
      <c r="D1250" s="170"/>
      <c r="L1250" s="1"/>
      <c r="N1250" s="1"/>
      <c r="O1250" s="73"/>
      <c r="P1250" s="1"/>
    </row>
    <row r="1251" spans="1:21" s="5" customFormat="1" x14ac:dyDescent="0.35">
      <c r="A1251" s="86" t="s">
        <v>1914</v>
      </c>
      <c r="B1251" s="84"/>
    </row>
    <row r="1252" spans="1:21" x14ac:dyDescent="0.35">
      <c r="K1252" s="1"/>
    </row>
    <row r="1253" spans="1:21" x14ac:dyDescent="0.35">
      <c r="B1253" s="83" t="s">
        <v>1915</v>
      </c>
      <c r="D1253" t="s">
        <v>1916</v>
      </c>
      <c r="K1253" s="1" t="s">
        <v>1917</v>
      </c>
    </row>
    <row r="1254" spans="1:21" x14ac:dyDescent="0.35">
      <c r="D1254" t="s">
        <v>1921</v>
      </c>
      <c r="K1254" s="1" t="s">
        <v>1918</v>
      </c>
    </row>
    <row r="1255" spans="1:21" x14ac:dyDescent="0.35">
      <c r="D1255" t="s">
        <v>1920</v>
      </c>
      <c r="K1255" s="1" t="s">
        <v>1919</v>
      </c>
    </row>
    <row r="1257" spans="1:21" s="5" customFormat="1" x14ac:dyDescent="0.35">
      <c r="A1257" s="86" t="s">
        <v>562</v>
      </c>
      <c r="B1257" s="84"/>
    </row>
    <row r="1259" spans="1:21" x14ac:dyDescent="0.35">
      <c r="C1259" t="s">
        <v>564</v>
      </c>
      <c r="J1259" t="s">
        <v>563</v>
      </c>
    </row>
    <row r="1260" spans="1:21" x14ac:dyDescent="0.35">
      <c r="C1260" t="s">
        <v>566</v>
      </c>
      <c r="J1260" t="s">
        <v>565</v>
      </c>
    </row>
    <row r="1261" spans="1:21" x14ac:dyDescent="0.35">
      <c r="C1261" t="s">
        <v>568</v>
      </c>
      <c r="J1261" t="s">
        <v>567</v>
      </c>
    </row>
    <row r="1263" spans="1:21" s="5" customFormat="1" x14ac:dyDescent="0.35">
      <c r="A1263" s="86" t="s">
        <v>1528</v>
      </c>
    </row>
    <row r="1265" spans="2:13" x14ac:dyDescent="0.35">
      <c r="B1265" t="s">
        <v>1526</v>
      </c>
      <c r="D1265" t="s">
        <v>1527</v>
      </c>
      <c r="M1265" s="1" t="s">
        <v>1525</v>
      </c>
    </row>
    <row r="1266" spans="2:13" x14ac:dyDescent="0.35">
      <c r="B1266"/>
      <c r="D1266" t="s">
        <v>1530</v>
      </c>
      <c r="M1266" s="1" t="s">
        <v>1529</v>
      </c>
    </row>
    <row r="1267" spans="2:13" x14ac:dyDescent="0.35">
      <c r="B1267"/>
      <c r="D1267" t="s">
        <v>1560</v>
      </c>
      <c r="M1267" s="1" t="s">
        <v>1559</v>
      </c>
    </row>
    <row r="1268" spans="2:13" x14ac:dyDescent="0.35">
      <c r="D1268" t="s">
        <v>1551</v>
      </c>
      <c r="M1268" s="1" t="s">
        <v>1550</v>
      </c>
    </row>
    <row r="1269" spans="2:13" x14ac:dyDescent="0.35">
      <c r="B1269"/>
      <c r="D1269" t="s">
        <v>1553</v>
      </c>
      <c r="M1269" s="1" t="s">
        <v>1552</v>
      </c>
    </row>
    <row r="1270" spans="2:13" x14ac:dyDescent="0.35">
      <c r="B1270"/>
    </row>
    <row r="1271" spans="2:13" x14ac:dyDescent="0.35">
      <c r="B1271" t="s">
        <v>1592</v>
      </c>
      <c r="D1271" t="s">
        <v>1555</v>
      </c>
      <c r="M1271" s="1" t="s">
        <v>1554</v>
      </c>
    </row>
    <row r="1272" spans="2:13" x14ac:dyDescent="0.35">
      <c r="B1272"/>
      <c r="D1272" t="s">
        <v>1534</v>
      </c>
      <c r="M1272" s="1" t="s">
        <v>1533</v>
      </c>
    </row>
    <row r="1273" spans="2:13" x14ac:dyDescent="0.35">
      <c r="D1273" t="s">
        <v>1531</v>
      </c>
      <c r="M1273" s="1" t="s">
        <v>1532</v>
      </c>
    </row>
    <row r="1274" spans="2:13" x14ac:dyDescent="0.35">
      <c r="M1274" s="1"/>
    </row>
    <row r="1275" spans="2:13" x14ac:dyDescent="0.35">
      <c r="B1275" t="s">
        <v>1670</v>
      </c>
      <c r="M1275" s="1" t="s">
        <v>1669</v>
      </c>
    </row>
    <row r="1276" spans="2:13" x14ac:dyDescent="0.35">
      <c r="M1276" s="1"/>
    </row>
    <row r="1277" spans="2:13" x14ac:dyDescent="0.35">
      <c r="B1277" t="s">
        <v>1591</v>
      </c>
      <c r="D1277" t="s">
        <v>1576</v>
      </c>
      <c r="M1277" s="1" t="s">
        <v>1563</v>
      </c>
    </row>
    <row r="1278" spans="2:13" x14ac:dyDescent="0.35">
      <c r="B1278"/>
      <c r="D1278" t="s">
        <v>1562</v>
      </c>
      <c r="M1278" s="1" t="s">
        <v>1561</v>
      </c>
    </row>
    <row r="1279" spans="2:13" x14ac:dyDescent="0.35">
      <c r="B1279"/>
      <c r="D1279" t="s">
        <v>1564</v>
      </c>
      <c r="M1279" s="1" t="s">
        <v>1563</v>
      </c>
    </row>
    <row r="1280" spans="2:13" x14ac:dyDescent="0.35">
      <c r="B1280"/>
      <c r="D1280" t="s">
        <v>1567</v>
      </c>
      <c r="M1280" s="1" t="s">
        <v>1566</v>
      </c>
    </row>
    <row r="1281" spans="2:15" x14ac:dyDescent="0.35">
      <c r="B1281"/>
    </row>
    <row r="1282" spans="2:15" x14ac:dyDescent="0.35">
      <c r="B1282" t="s">
        <v>1586</v>
      </c>
      <c r="D1282" t="s">
        <v>1587</v>
      </c>
      <c r="M1282" s="1" t="s">
        <v>1568</v>
      </c>
    </row>
    <row r="1283" spans="2:15" x14ac:dyDescent="0.35">
      <c r="B1283"/>
      <c r="D1283" t="s">
        <v>1588</v>
      </c>
      <c r="M1283" s="1" t="s">
        <v>1569</v>
      </c>
      <c r="N1283" s="3" t="s">
        <v>1590</v>
      </c>
      <c r="O1283" s="1" t="s">
        <v>1589</v>
      </c>
    </row>
    <row r="1284" spans="2:15" x14ac:dyDescent="0.35">
      <c r="B1284"/>
      <c r="E1284" t="s">
        <v>1630</v>
      </c>
      <c r="M1284" s="1"/>
      <c r="N1284" s="3"/>
      <c r="O1284" s="1"/>
    </row>
    <row r="1285" spans="2:15" x14ac:dyDescent="0.35">
      <c r="B1285"/>
      <c r="D1285" t="s">
        <v>1571</v>
      </c>
      <c r="M1285" s="1"/>
    </row>
    <row r="1286" spans="2:15" x14ac:dyDescent="0.35">
      <c r="B1286"/>
      <c r="D1286" t="s">
        <v>1584</v>
      </c>
      <c r="M1286" s="1" t="s">
        <v>1565</v>
      </c>
    </row>
    <row r="1287" spans="2:15" x14ac:dyDescent="0.35">
      <c r="B1287"/>
      <c r="D1287" t="s">
        <v>1631</v>
      </c>
      <c r="M1287" s="1" t="s">
        <v>1570</v>
      </c>
    </row>
    <row r="1288" spans="2:15" x14ac:dyDescent="0.35">
      <c r="B1288"/>
      <c r="M1288" s="1"/>
    </row>
    <row r="1289" spans="2:15" x14ac:dyDescent="0.35">
      <c r="B1289" t="s">
        <v>1585</v>
      </c>
      <c r="D1289" t="s">
        <v>1582</v>
      </c>
      <c r="M1289" s="1" t="s">
        <v>1581</v>
      </c>
    </row>
    <row r="1290" spans="2:15" x14ac:dyDescent="0.35">
      <c r="B1290"/>
      <c r="D1290" t="s">
        <v>1583</v>
      </c>
      <c r="M1290" s="1"/>
    </row>
    <row r="1291" spans="2:15" x14ac:dyDescent="0.35">
      <c r="B1291"/>
      <c r="M1291" s="1"/>
    </row>
    <row r="1292" spans="2:15" x14ac:dyDescent="0.35">
      <c r="B1292" t="s">
        <v>1597</v>
      </c>
      <c r="D1292" t="s">
        <v>1598</v>
      </c>
      <c r="M1292" s="1" t="s">
        <v>1596</v>
      </c>
    </row>
    <row r="1293" spans="2:15" x14ac:dyDescent="0.35">
      <c r="B1293"/>
    </row>
    <row r="1294" spans="2:15" x14ac:dyDescent="0.35">
      <c r="B1294" t="s">
        <v>1602</v>
      </c>
      <c r="D1294" t="s">
        <v>1603</v>
      </c>
      <c r="M1294" s="1" t="s">
        <v>1601</v>
      </c>
    </row>
    <row r="1295" spans="2:15" x14ac:dyDescent="0.35">
      <c r="B1295"/>
      <c r="D1295" t="s">
        <v>1605</v>
      </c>
      <c r="M1295" s="1" t="s">
        <v>1604</v>
      </c>
    </row>
    <row r="1296" spans="2:15" x14ac:dyDescent="0.35">
      <c r="B1296"/>
      <c r="D1296" t="s">
        <v>1600</v>
      </c>
      <c r="M1296" s="1" t="s">
        <v>1599</v>
      </c>
    </row>
    <row r="1297" spans="2:15" x14ac:dyDescent="0.35">
      <c r="B1297"/>
      <c r="D1297" t="s">
        <v>1614</v>
      </c>
      <c r="M1297" s="1" t="s">
        <v>1613</v>
      </c>
    </row>
    <row r="1298" spans="2:15" x14ac:dyDescent="0.35">
      <c r="B1298"/>
      <c r="D1298" t="s">
        <v>1663</v>
      </c>
      <c r="M1298" s="1" t="s">
        <v>1615</v>
      </c>
    </row>
    <row r="1299" spans="2:15" x14ac:dyDescent="0.35">
      <c r="B1299"/>
      <c r="D1299" s="170" t="s">
        <v>1626</v>
      </c>
      <c r="M1299" s="1" t="s">
        <v>1625</v>
      </c>
    </row>
    <row r="1300" spans="2:15" x14ac:dyDescent="0.35">
      <c r="B1300"/>
      <c r="E1300" t="s">
        <v>1624</v>
      </c>
      <c r="M1300" s="1" t="s">
        <v>1623</v>
      </c>
    </row>
    <row r="1301" spans="2:15" x14ac:dyDescent="0.35">
      <c r="B1301"/>
    </row>
    <row r="1302" spans="2:15" x14ac:dyDescent="0.35">
      <c r="B1302" t="s">
        <v>1627</v>
      </c>
      <c r="D1302" t="s">
        <v>1628</v>
      </c>
      <c r="M1302" s="1" t="s">
        <v>1629</v>
      </c>
    </row>
    <row r="1303" spans="2:15" x14ac:dyDescent="0.35">
      <c r="B1303"/>
      <c r="M1303" s="1"/>
    </row>
    <row r="1304" spans="2:15" x14ac:dyDescent="0.35">
      <c r="B1304" t="s">
        <v>1652</v>
      </c>
      <c r="D1304" t="s">
        <v>1653</v>
      </c>
      <c r="M1304" s="1" t="s">
        <v>1654</v>
      </c>
      <c r="N1304" s="3" t="s">
        <v>1590</v>
      </c>
      <c r="O1304" s="1" t="s">
        <v>1655</v>
      </c>
    </row>
    <row r="1305" spans="2:15" x14ac:dyDescent="0.35">
      <c r="B1305"/>
    </row>
    <row r="1306" spans="2:15" x14ac:dyDescent="0.35">
      <c r="B1306" t="s">
        <v>1651</v>
      </c>
      <c r="D1306" t="s">
        <v>1640</v>
      </c>
      <c r="M1306" s="1" t="s">
        <v>1639</v>
      </c>
    </row>
    <row r="1307" spans="2:15" x14ac:dyDescent="0.35">
      <c r="B1307"/>
      <c r="D1307" t="s">
        <v>1645</v>
      </c>
      <c r="M1307" s="1" t="s">
        <v>1644</v>
      </c>
    </row>
    <row r="1308" spans="2:15" x14ac:dyDescent="0.35">
      <c r="B1308"/>
      <c r="D1308" t="s">
        <v>1647</v>
      </c>
      <c r="M1308" s="1" t="s">
        <v>1646</v>
      </c>
    </row>
    <row r="1309" spans="2:15" x14ac:dyDescent="0.35">
      <c r="B1309"/>
      <c r="D1309" t="s">
        <v>1650</v>
      </c>
      <c r="M1309" s="1" t="s">
        <v>1648</v>
      </c>
    </row>
    <row r="1310" spans="2:15" x14ac:dyDescent="0.35">
      <c r="B1310"/>
      <c r="D1310" t="s">
        <v>1647</v>
      </c>
      <c r="M1310" s="1" t="s">
        <v>1649</v>
      </c>
    </row>
    <row r="1311" spans="2:15" x14ac:dyDescent="0.35">
      <c r="B1311"/>
      <c r="M1311" s="1"/>
    </row>
    <row r="1312" spans="2:15" x14ac:dyDescent="0.35">
      <c r="B1312" t="s">
        <v>1528</v>
      </c>
      <c r="D1312" t="s">
        <v>1657</v>
      </c>
      <c r="M1312" s="1" t="s">
        <v>1656</v>
      </c>
    </row>
    <row r="1313" spans="2:13" x14ac:dyDescent="0.35">
      <c r="B1313"/>
      <c r="D1313" t="s">
        <v>1659</v>
      </c>
      <c r="M1313" s="1" t="s">
        <v>1658</v>
      </c>
    </row>
    <row r="1314" spans="2:13" x14ac:dyDescent="0.35">
      <c r="B1314"/>
      <c r="D1314" t="s">
        <v>1660</v>
      </c>
      <c r="M1314" s="1" t="s">
        <v>1661</v>
      </c>
    </row>
    <row r="1315" spans="2:13" x14ac:dyDescent="0.35">
      <c r="B1315"/>
      <c r="M1315" s="1"/>
    </row>
    <row r="1316" spans="2:13" x14ac:dyDescent="0.35">
      <c r="B1316"/>
      <c r="D1316" s="170" t="s">
        <v>1668</v>
      </c>
      <c r="M1316" s="1"/>
    </row>
    <row r="1317" spans="2:13" x14ac:dyDescent="0.35">
      <c r="B1317"/>
      <c r="M1317" s="1"/>
    </row>
    <row r="1318" spans="2:13" x14ac:dyDescent="0.35">
      <c r="B1318" t="s">
        <v>1665</v>
      </c>
      <c r="M1318" s="1" t="s">
        <v>1664</v>
      </c>
    </row>
    <row r="1319" spans="2:13" x14ac:dyDescent="0.35">
      <c r="B1319"/>
      <c r="M1319" s="1"/>
    </row>
    <row r="1320" spans="2:13" x14ac:dyDescent="0.35">
      <c r="B1320" t="s">
        <v>51</v>
      </c>
      <c r="D1320" t="s">
        <v>1595</v>
      </c>
      <c r="M1320" s="1" t="s">
        <v>1594</v>
      </c>
    </row>
    <row r="1321" spans="2:13" x14ac:dyDescent="0.35">
      <c r="B1321"/>
      <c r="D1321" t="s">
        <v>1609</v>
      </c>
      <c r="M1321" s="1" t="s">
        <v>1606</v>
      </c>
    </row>
    <row r="1322" spans="2:13" x14ac:dyDescent="0.35">
      <c r="B1322"/>
      <c r="D1322" t="s">
        <v>1608</v>
      </c>
      <c r="M1322" s="1" t="s">
        <v>1607</v>
      </c>
    </row>
    <row r="1323" spans="2:13" x14ac:dyDescent="0.35">
      <c r="B1323"/>
      <c r="D1323" t="s">
        <v>1611</v>
      </c>
      <c r="M1323" s="1" t="s">
        <v>1610</v>
      </c>
    </row>
    <row r="1324" spans="2:13" x14ac:dyDescent="0.35">
      <c r="B1324"/>
      <c r="D1324" t="s">
        <v>1612</v>
      </c>
      <c r="M1324" s="1" t="s">
        <v>1604</v>
      </c>
    </row>
    <row r="1325" spans="2:13" x14ac:dyDescent="0.35">
      <c r="B1325"/>
      <c r="D1325" t="s">
        <v>1666</v>
      </c>
      <c r="M1325" s="1" t="s">
        <v>1667</v>
      </c>
    </row>
    <row r="1326" spans="2:13" x14ac:dyDescent="0.35">
      <c r="B1326"/>
      <c r="M1326" s="1"/>
    </row>
    <row r="1327" spans="2:13" x14ac:dyDescent="0.35">
      <c r="B1327" t="s">
        <v>1578</v>
      </c>
      <c r="D1327" t="s">
        <v>1617</v>
      </c>
      <c r="M1327" s="1" t="s">
        <v>1577</v>
      </c>
    </row>
    <row r="1328" spans="2:13" x14ac:dyDescent="0.35">
      <c r="B1328"/>
      <c r="E1328" t="s">
        <v>1580</v>
      </c>
      <c r="M1328" s="1" t="s">
        <v>1579</v>
      </c>
    </row>
    <row r="1329" spans="2:13" x14ac:dyDescent="0.35">
      <c r="B1329"/>
      <c r="D1329" t="s">
        <v>1618</v>
      </c>
      <c r="M1329" s="1" t="s">
        <v>1616</v>
      </c>
    </row>
    <row r="1330" spans="2:13" x14ac:dyDescent="0.35">
      <c r="B1330"/>
      <c r="E1330" t="s">
        <v>1620</v>
      </c>
      <c r="M1330" s="1" t="s">
        <v>1619</v>
      </c>
    </row>
    <row r="1331" spans="2:13" x14ac:dyDescent="0.35">
      <c r="B1331"/>
      <c r="E1331" t="s">
        <v>1622</v>
      </c>
      <c r="M1331" s="1" t="s">
        <v>1621</v>
      </c>
    </row>
    <row r="1332" spans="2:13" x14ac:dyDescent="0.35">
      <c r="B1332"/>
      <c r="M1332" s="1"/>
    </row>
    <row r="1333" spans="2:13" x14ac:dyDescent="0.35">
      <c r="B1333" t="s">
        <v>1535</v>
      </c>
      <c r="D1333" t="s">
        <v>1536</v>
      </c>
      <c r="M1333" s="1" t="s">
        <v>1456</v>
      </c>
    </row>
    <row r="1334" spans="2:13" x14ac:dyDescent="0.35">
      <c r="B1334"/>
      <c r="D1334" t="s">
        <v>1538</v>
      </c>
      <c r="M1334" s="1" t="s">
        <v>1537</v>
      </c>
    </row>
    <row r="1335" spans="2:13" x14ac:dyDescent="0.35">
      <c r="D1335" t="s">
        <v>1541</v>
      </c>
      <c r="M1335" s="1" t="s">
        <v>1539</v>
      </c>
    </row>
    <row r="1336" spans="2:13" x14ac:dyDescent="0.35">
      <c r="D1336" t="s">
        <v>1545</v>
      </c>
      <c r="M1336" s="1" t="s">
        <v>1540</v>
      </c>
    </row>
    <row r="1337" spans="2:13" x14ac:dyDescent="0.35">
      <c r="D1337" t="s">
        <v>1542</v>
      </c>
      <c r="G1337" t="s">
        <v>1544</v>
      </c>
      <c r="M1337" s="1" t="s">
        <v>1543</v>
      </c>
    </row>
    <row r="1338" spans="2:13" x14ac:dyDescent="0.35">
      <c r="M1338" s="1"/>
    </row>
    <row r="1339" spans="2:13" x14ac:dyDescent="0.35">
      <c r="B1339" t="s">
        <v>1481</v>
      </c>
      <c r="D1339" t="s">
        <v>1511</v>
      </c>
      <c r="M1339" s="1" t="s">
        <v>1508</v>
      </c>
    </row>
    <row r="1340" spans="2:13" x14ac:dyDescent="0.35">
      <c r="B1340"/>
      <c r="D1340" t="s">
        <v>1510</v>
      </c>
      <c r="M1340" s="1" t="s">
        <v>1509</v>
      </c>
    </row>
    <row r="1341" spans="2:13" x14ac:dyDescent="0.35">
      <c r="D1341" t="s">
        <v>1477</v>
      </c>
      <c r="M1341" s="1" t="s">
        <v>1478</v>
      </c>
    </row>
    <row r="1342" spans="2:13" x14ac:dyDescent="0.35">
      <c r="B1342"/>
      <c r="D1342" t="s">
        <v>1479</v>
      </c>
      <c r="M1342" s="1" t="s">
        <v>1480</v>
      </c>
    </row>
    <row r="1343" spans="2:13" x14ac:dyDescent="0.35">
      <c r="B1343"/>
      <c r="D1343" t="s">
        <v>1483</v>
      </c>
      <c r="M1343" s="1" t="s">
        <v>1482</v>
      </c>
    </row>
    <row r="1344" spans="2:13" x14ac:dyDescent="0.35">
      <c r="B1344"/>
      <c r="D1344" t="s">
        <v>1485</v>
      </c>
      <c r="M1344" s="1" t="s">
        <v>1484</v>
      </c>
    </row>
    <row r="1345" spans="2:13" x14ac:dyDescent="0.35">
      <c r="B1345"/>
      <c r="D1345" t="s">
        <v>1501</v>
      </c>
      <c r="M1345" s="1" t="s">
        <v>1500</v>
      </c>
    </row>
    <row r="1346" spans="2:13" x14ac:dyDescent="0.35">
      <c r="B1346"/>
      <c r="D1346" t="s">
        <v>1503</v>
      </c>
      <c r="M1346" s="1" t="s">
        <v>1502</v>
      </c>
    </row>
    <row r="1347" spans="2:13" x14ac:dyDescent="0.35">
      <c r="B1347"/>
      <c r="D1347" t="s">
        <v>1505</v>
      </c>
      <c r="M1347" s="1" t="s">
        <v>1504</v>
      </c>
    </row>
    <row r="1348" spans="2:13" x14ac:dyDescent="0.35">
      <c r="B1348"/>
      <c r="D1348" t="s">
        <v>1507</v>
      </c>
      <c r="M1348" s="1" t="s">
        <v>1506</v>
      </c>
    </row>
    <row r="1349" spans="2:13" x14ac:dyDescent="0.35">
      <c r="B1349"/>
      <c r="D1349" t="s">
        <v>1479</v>
      </c>
      <c r="M1349" s="1" t="s">
        <v>1480</v>
      </c>
    </row>
    <row r="1350" spans="2:13" x14ac:dyDescent="0.35">
      <c r="B1350"/>
      <c r="M1350" s="1"/>
    </row>
    <row r="1351" spans="2:13" x14ac:dyDescent="0.35">
      <c r="B1351" t="s">
        <v>1486</v>
      </c>
      <c r="D1351" t="s">
        <v>1473</v>
      </c>
      <c r="M1351" s="1" t="s">
        <v>1471</v>
      </c>
    </row>
    <row r="1352" spans="2:13" x14ac:dyDescent="0.35">
      <c r="B1352"/>
      <c r="D1352" t="s">
        <v>1474</v>
      </c>
      <c r="M1352" s="1" t="s">
        <v>1472</v>
      </c>
    </row>
    <row r="1353" spans="2:13" x14ac:dyDescent="0.35">
      <c r="B1353"/>
      <c r="D1353" t="s">
        <v>1475</v>
      </c>
      <c r="M1353" s="1" t="s">
        <v>1476</v>
      </c>
    </row>
    <row r="1354" spans="2:13" x14ac:dyDescent="0.35">
      <c r="B1354"/>
      <c r="M1354" s="1"/>
    </row>
    <row r="1355" spans="2:13" x14ac:dyDescent="0.35">
      <c r="B1355" t="s">
        <v>1487</v>
      </c>
      <c r="D1355" s="168" t="s">
        <v>1489</v>
      </c>
      <c r="M1355" s="1"/>
    </row>
    <row r="1356" spans="2:13" x14ac:dyDescent="0.35">
      <c r="B1356"/>
      <c r="D1356" s="168" t="s">
        <v>1490</v>
      </c>
      <c r="M1356" s="1"/>
    </row>
    <row r="1357" spans="2:13" x14ac:dyDescent="0.35">
      <c r="B1357"/>
      <c r="D1357" s="168" t="s">
        <v>1491</v>
      </c>
      <c r="M1357" s="1"/>
    </row>
    <row r="1358" spans="2:13" x14ac:dyDescent="0.35">
      <c r="B1358"/>
      <c r="D1358" s="168" t="s">
        <v>1492</v>
      </c>
      <c r="M1358" s="1"/>
    </row>
    <row r="1359" spans="2:13" x14ac:dyDescent="0.35">
      <c r="B1359"/>
      <c r="D1359" s="168" t="s">
        <v>1493</v>
      </c>
      <c r="M1359" s="1"/>
    </row>
    <row r="1360" spans="2:13" x14ac:dyDescent="0.35">
      <c r="B1360"/>
      <c r="D1360" s="168" t="s">
        <v>1494</v>
      </c>
      <c r="M1360" s="1"/>
    </row>
    <row r="1361" spans="1:20" x14ac:dyDescent="0.35">
      <c r="B1361"/>
      <c r="D1361" s="168" t="s">
        <v>1495</v>
      </c>
      <c r="M1361" s="1"/>
    </row>
    <row r="1362" spans="1:20" x14ac:dyDescent="0.35">
      <c r="B1362"/>
      <c r="D1362" s="168" t="s">
        <v>1496</v>
      </c>
      <c r="M1362" s="1"/>
    </row>
    <row r="1363" spans="1:20" x14ac:dyDescent="0.35">
      <c r="B1363"/>
      <c r="D1363" s="168" t="s">
        <v>1497</v>
      </c>
      <c r="M1363" s="1"/>
    </row>
    <row r="1364" spans="1:20" x14ac:dyDescent="0.35">
      <c r="B1364"/>
      <c r="D1364" s="168" t="s">
        <v>1498</v>
      </c>
      <c r="M1364" s="1"/>
    </row>
    <row r="1365" spans="1:20" x14ac:dyDescent="0.35">
      <c r="B1365"/>
      <c r="D1365" s="168" t="s">
        <v>1499</v>
      </c>
      <c r="M1365" s="1"/>
    </row>
    <row r="1366" spans="1:20" x14ac:dyDescent="0.35">
      <c r="B1366"/>
      <c r="D1366" s="169" t="s">
        <v>1488</v>
      </c>
      <c r="M1366" s="1"/>
    </row>
    <row r="1367" spans="1:20" x14ac:dyDescent="0.35">
      <c r="B1367"/>
      <c r="D1367" s="169"/>
      <c r="M1367" s="1"/>
    </row>
    <row r="1368" spans="1:20" x14ac:dyDescent="0.35">
      <c r="B1368" t="s">
        <v>1513</v>
      </c>
      <c r="D1368" t="s">
        <v>1514</v>
      </c>
      <c r="M1368" s="1" t="s">
        <v>1512</v>
      </c>
    </row>
    <row r="1369" spans="1:20" x14ac:dyDescent="0.35">
      <c r="B1369"/>
      <c r="E1369" t="s">
        <v>1516</v>
      </c>
    </row>
    <row r="1370" spans="1:20" x14ac:dyDescent="0.35">
      <c r="E1370" t="s">
        <v>1517</v>
      </c>
      <c r="T1370" s="1" t="s">
        <v>1515</v>
      </c>
    </row>
    <row r="1371" spans="1:20" x14ac:dyDescent="0.35">
      <c r="D1371" t="s">
        <v>1519</v>
      </c>
      <c r="M1371" s="1" t="s">
        <v>1518</v>
      </c>
    </row>
    <row r="1372" spans="1:20" x14ac:dyDescent="0.35">
      <c r="D1372" t="s">
        <v>1521</v>
      </c>
      <c r="M1372" s="1" t="s">
        <v>1520</v>
      </c>
      <c r="N1372" s="3" t="s">
        <v>1524</v>
      </c>
      <c r="O1372" s="1" t="s">
        <v>1523</v>
      </c>
    </row>
    <row r="1373" spans="1:20" x14ac:dyDescent="0.35">
      <c r="D1373" t="s">
        <v>1522</v>
      </c>
    </row>
    <row r="1374" spans="1:20" x14ac:dyDescent="0.35">
      <c r="D1374" t="s">
        <v>1558</v>
      </c>
      <c r="M1374" s="1" t="s">
        <v>1556</v>
      </c>
      <c r="N1374" s="3" t="s">
        <v>1524</v>
      </c>
      <c r="O1374" s="1" t="s">
        <v>1557</v>
      </c>
    </row>
    <row r="1376" spans="1:20" s="5" customFormat="1" x14ac:dyDescent="0.35">
      <c r="A1376" s="86" t="s">
        <v>1455</v>
      </c>
    </row>
    <row r="1377" spans="1:11" x14ac:dyDescent="0.35">
      <c r="A1377"/>
      <c r="B1377"/>
    </row>
    <row r="1378" spans="1:11" x14ac:dyDescent="0.35">
      <c r="A1378"/>
      <c r="B1378" t="s">
        <v>1461</v>
      </c>
      <c r="D1378" t="s">
        <v>1467</v>
      </c>
    </row>
    <row r="1379" spans="1:11" x14ac:dyDescent="0.35">
      <c r="A1379"/>
      <c r="B1379"/>
      <c r="D1379" t="s">
        <v>1462</v>
      </c>
    </row>
    <row r="1380" spans="1:11" x14ac:dyDescent="0.35">
      <c r="A1380"/>
      <c r="B1380"/>
      <c r="D1380" t="s">
        <v>1463</v>
      </c>
    </row>
    <row r="1381" spans="1:11" x14ac:dyDescent="0.35">
      <c r="A1381"/>
      <c r="B1381"/>
      <c r="D1381" t="s">
        <v>1464</v>
      </c>
    </row>
    <row r="1382" spans="1:11" x14ac:dyDescent="0.35">
      <c r="A1382"/>
      <c r="B1382"/>
      <c r="D1382" t="s">
        <v>1465</v>
      </c>
    </row>
    <row r="1383" spans="1:11" x14ac:dyDescent="0.35">
      <c r="A1383"/>
      <c r="B1383"/>
      <c r="D1383" t="s">
        <v>1468</v>
      </c>
    </row>
    <row r="1384" spans="1:11" x14ac:dyDescent="0.35">
      <c r="A1384"/>
      <c r="B1384"/>
      <c r="D1384" t="s">
        <v>1469</v>
      </c>
    </row>
    <row r="1385" spans="1:11" x14ac:dyDescent="0.35">
      <c r="A1385"/>
      <c r="B1385"/>
      <c r="D1385" t="s">
        <v>1470</v>
      </c>
    </row>
    <row r="1386" spans="1:11" x14ac:dyDescent="0.35">
      <c r="A1386"/>
      <c r="B1386"/>
      <c r="D1386" t="s">
        <v>1466</v>
      </c>
    </row>
    <row r="1387" spans="1:11" x14ac:dyDescent="0.35">
      <c r="A1387"/>
      <c r="B1387"/>
    </row>
    <row r="1388" spans="1:11" x14ac:dyDescent="0.35">
      <c r="A1388"/>
      <c r="B1388" t="s">
        <v>51</v>
      </c>
      <c r="D1388">
        <v>24</v>
      </c>
      <c r="E1388" t="s">
        <v>1441</v>
      </c>
    </row>
    <row r="1389" spans="1:11" x14ac:dyDescent="0.35">
      <c r="A1389"/>
      <c r="B1389"/>
    </row>
    <row r="1390" spans="1:11" x14ac:dyDescent="0.35">
      <c r="A1390"/>
      <c r="B1390" t="s">
        <v>1442</v>
      </c>
      <c r="D1390">
        <v>18</v>
      </c>
      <c r="E1390" t="s">
        <v>1438</v>
      </c>
      <c r="K1390" s="1" t="s">
        <v>1439</v>
      </c>
    </row>
    <row r="1391" spans="1:11" x14ac:dyDescent="0.35">
      <c r="A1391"/>
      <c r="B1391"/>
      <c r="D1391" s="149">
        <v>6.4000000000000003E-3</v>
      </c>
      <c r="E1391" t="s">
        <v>238</v>
      </c>
    </row>
    <row r="1392" spans="1:11" x14ac:dyDescent="0.35">
      <c r="A1392"/>
      <c r="B1392"/>
      <c r="D1392">
        <v>20</v>
      </c>
      <c r="E1392" t="s">
        <v>351</v>
      </c>
    </row>
    <row r="1393" spans="1:11" x14ac:dyDescent="0.35">
      <c r="A1393"/>
      <c r="B1393"/>
      <c r="D1393" s="12">
        <f>D1392*D1391</f>
        <v>0.128</v>
      </c>
      <c r="E1393" t="s">
        <v>1440</v>
      </c>
    </row>
    <row r="1394" spans="1:11" x14ac:dyDescent="0.35">
      <c r="A1394"/>
      <c r="B1394"/>
      <c r="D1394" s="12"/>
    </row>
    <row r="1395" spans="1:11" x14ac:dyDescent="0.35">
      <c r="A1395"/>
      <c r="B1395" t="s">
        <v>1444</v>
      </c>
      <c r="D1395">
        <v>2.8</v>
      </c>
      <c r="E1395" t="s">
        <v>39</v>
      </c>
    </row>
    <row r="1396" spans="1:11" x14ac:dyDescent="0.35">
      <c r="A1396"/>
      <c r="B1396"/>
      <c r="D1396">
        <v>0.25</v>
      </c>
      <c r="E1396" t="s">
        <v>5</v>
      </c>
    </row>
    <row r="1397" spans="1:11" x14ac:dyDescent="0.35">
      <c r="A1397"/>
      <c r="B1397"/>
      <c r="D1397">
        <f>D1396*D1395</f>
        <v>0.7</v>
      </c>
      <c r="E1397" t="s">
        <v>1437</v>
      </c>
    </row>
    <row r="1398" spans="1:11" x14ac:dyDescent="0.35">
      <c r="A1398"/>
      <c r="B1398"/>
      <c r="D1398" s="12"/>
    </row>
    <row r="1399" spans="1:11" x14ac:dyDescent="0.35">
      <c r="A1399"/>
      <c r="B1399" t="s">
        <v>1443</v>
      </c>
      <c r="D1399">
        <v>8</v>
      </c>
      <c r="E1399" t="s">
        <v>1572</v>
      </c>
    </row>
    <row r="1400" spans="1:11" x14ac:dyDescent="0.35">
      <c r="A1400"/>
      <c r="B1400"/>
      <c r="D1400">
        <v>2</v>
      </c>
      <c r="E1400" t="s">
        <v>1445</v>
      </c>
    </row>
    <row r="1401" spans="1:11" x14ac:dyDescent="0.35">
      <c r="A1401"/>
      <c r="B1401"/>
      <c r="D1401">
        <f>D1400*D1399</f>
        <v>16</v>
      </c>
      <c r="E1401" t="s">
        <v>1573</v>
      </c>
    </row>
    <row r="1402" spans="1:11" x14ac:dyDescent="0.35">
      <c r="A1402"/>
      <c r="B1402"/>
      <c r="D1402">
        <f>D1401*D1397</f>
        <v>11.2</v>
      </c>
      <c r="E1402" t="s">
        <v>1574</v>
      </c>
      <c r="J1402">
        <f>LN(D1388)</f>
        <v>3.1780538303479458</v>
      </c>
      <c r="K1402">
        <f>LN(D1388)</f>
        <v>3.1780538303479458</v>
      </c>
    </row>
    <row r="1403" spans="1:11" x14ac:dyDescent="0.35">
      <c r="A1403"/>
      <c r="B1403"/>
      <c r="D1403">
        <f>D1395*D1399</f>
        <v>22.4</v>
      </c>
      <c r="E1403" t="s">
        <v>1575</v>
      </c>
      <c r="J1403">
        <f>LN(D1403)</f>
        <v>3.1090609588609941</v>
      </c>
      <c r="K1403">
        <f>LN(D1403)</f>
        <v>3.1090609588609941</v>
      </c>
    </row>
    <row r="1404" spans="1:11" x14ac:dyDescent="0.35">
      <c r="A1404"/>
      <c r="B1404"/>
      <c r="D1404">
        <f>D1400*D1396</f>
        <v>0.5</v>
      </c>
      <c r="E1404" t="s">
        <v>1451</v>
      </c>
      <c r="J1404" s="36">
        <f>(J1402-J1403)/J1403</f>
        <v>2.2190903427067969E-2</v>
      </c>
      <c r="K1404" s="36">
        <f>(K1402-K1403)/K1403</f>
        <v>2.2190903427067969E-2</v>
      </c>
    </row>
    <row r="1405" spans="1:11" x14ac:dyDescent="0.35">
      <c r="A1405"/>
      <c r="B1405"/>
      <c r="D1405" s="12"/>
    </row>
    <row r="1406" spans="1:11" x14ac:dyDescent="0.35">
      <c r="A1406"/>
      <c r="B1406" t="s">
        <v>1446</v>
      </c>
      <c r="D1406" s="15">
        <v>5</v>
      </c>
      <c r="E1406" t="s">
        <v>1447</v>
      </c>
    </row>
    <row r="1407" spans="1:11" x14ac:dyDescent="0.35">
      <c r="A1407"/>
      <c r="B1407" t="s">
        <v>1449</v>
      </c>
      <c r="D1407">
        <f>D1406*D1400</f>
        <v>10</v>
      </c>
      <c r="E1407" t="s">
        <v>1448</v>
      </c>
    </row>
    <row r="1408" spans="1:11" x14ac:dyDescent="0.35">
      <c r="A1408"/>
      <c r="B1408"/>
      <c r="D1408" s="12">
        <f>D1407*D1396</f>
        <v>2.5</v>
      </c>
      <c r="E1408" t="s">
        <v>1593</v>
      </c>
    </row>
    <row r="1409" spans="1:15" x14ac:dyDescent="0.35">
      <c r="A1409"/>
      <c r="B1409"/>
      <c r="D1409">
        <f>D1408*D1393</f>
        <v>0.32</v>
      </c>
      <c r="E1409" t="s">
        <v>1546</v>
      </c>
    </row>
    <row r="1410" spans="1:15" x14ac:dyDescent="0.35">
      <c r="A1410"/>
      <c r="B1410"/>
      <c r="D1410">
        <f>2*D1409</f>
        <v>0.64</v>
      </c>
      <c r="E1410" t="s">
        <v>1547</v>
      </c>
    </row>
    <row r="1411" spans="1:15" x14ac:dyDescent="0.35">
      <c r="A1411"/>
      <c r="B1411"/>
      <c r="D1411" s="36">
        <f>D1410/D1388</f>
        <v>2.6666666666666668E-2</v>
      </c>
      <c r="E1411" t="s">
        <v>1452</v>
      </c>
    </row>
    <row r="1412" spans="1:15" x14ac:dyDescent="0.35">
      <c r="A1412"/>
      <c r="B1412"/>
    </row>
    <row r="1413" spans="1:15" x14ac:dyDescent="0.35">
      <c r="A1413"/>
      <c r="B1413" t="s">
        <v>1454</v>
      </c>
      <c r="D1413">
        <v>0.1</v>
      </c>
      <c r="E1413" t="s">
        <v>1457</v>
      </c>
    </row>
    <row r="1414" spans="1:15" x14ac:dyDescent="0.35">
      <c r="A1414"/>
      <c r="B1414"/>
      <c r="D1414">
        <f>D1413*D1404</f>
        <v>0.05</v>
      </c>
      <c r="E1414" t="s">
        <v>1450</v>
      </c>
    </row>
    <row r="1415" spans="1:15" x14ac:dyDescent="0.35">
      <c r="A1415"/>
      <c r="B1415"/>
      <c r="D1415" s="167">
        <f>D1414/D1388</f>
        <v>2.0833333333333333E-3</v>
      </c>
      <c r="E1415" t="s">
        <v>1453</v>
      </c>
    </row>
    <row r="1416" spans="1:15" x14ac:dyDescent="0.35">
      <c r="A1416"/>
      <c r="B1416"/>
    </row>
    <row r="1417" spans="1:15" x14ac:dyDescent="0.35">
      <c r="A1417"/>
      <c r="B1417" t="s">
        <v>1458</v>
      </c>
      <c r="D1417" s="8">
        <v>0.6</v>
      </c>
      <c r="E1417" t="s">
        <v>1459</v>
      </c>
      <c r="K1417" s="1" t="s">
        <v>1456</v>
      </c>
    </row>
    <row r="1418" spans="1:15" x14ac:dyDescent="0.35">
      <c r="A1418"/>
      <c r="B1418"/>
      <c r="D1418" s="8">
        <v>0.11</v>
      </c>
      <c r="E1418" t="str">
        <f>E1413</f>
        <v>Mosfet (#DMN3023L-7), 0.1 ohms, $0.11/1k qty</v>
      </c>
      <c r="K1418" s="1" t="s">
        <v>1460</v>
      </c>
    </row>
    <row r="1419" spans="1:15" x14ac:dyDescent="0.35">
      <c r="A1419"/>
      <c r="B1419"/>
    </row>
    <row r="1420" spans="1:15" x14ac:dyDescent="0.35">
      <c r="A1420"/>
      <c r="D1420" t="s">
        <v>1549</v>
      </c>
      <c r="K1420" s="1" t="s">
        <v>1548</v>
      </c>
    </row>
    <row r="1421" spans="1:15" x14ac:dyDescent="0.35">
      <c r="A1421"/>
    </row>
    <row r="1422" spans="1:15" s="5" customFormat="1" x14ac:dyDescent="0.35">
      <c r="A1422" s="86" t="s">
        <v>1843</v>
      </c>
    </row>
    <row r="1424" spans="1:15" x14ac:dyDescent="0.35">
      <c r="D1424" s="4"/>
      <c r="E1424" s="4"/>
      <c r="F1424" s="4"/>
      <c r="G1424" s="4"/>
      <c r="H1424" s="4" t="s">
        <v>1848</v>
      </c>
      <c r="I1424" s="4"/>
      <c r="J1424" s="4"/>
      <c r="K1424" s="4"/>
      <c r="L1424" s="4"/>
      <c r="M1424" s="4" t="s">
        <v>1845</v>
      </c>
      <c r="N1424" s="4"/>
      <c r="O1424" s="4"/>
    </row>
    <row r="1425" spans="1:14" x14ac:dyDescent="0.35">
      <c r="B1425" s="83" t="s">
        <v>1843</v>
      </c>
      <c r="D1425" t="s">
        <v>1844</v>
      </c>
      <c r="H1425" t="s">
        <v>1847</v>
      </c>
      <c r="M1425" t="s">
        <v>1846</v>
      </c>
    </row>
    <row r="1426" spans="1:14" x14ac:dyDescent="0.35">
      <c r="D1426" t="s">
        <v>1854</v>
      </c>
      <c r="H1426" t="s">
        <v>1847</v>
      </c>
      <c r="M1426" t="s">
        <v>1846</v>
      </c>
    </row>
    <row r="1427" spans="1:14" x14ac:dyDescent="0.35">
      <c r="E1427" t="s">
        <v>1853</v>
      </c>
    </row>
    <row r="1428" spans="1:14" x14ac:dyDescent="0.35">
      <c r="D1428" t="s">
        <v>1849</v>
      </c>
      <c r="H1428" t="s">
        <v>1855</v>
      </c>
      <c r="M1428" t="s">
        <v>1846</v>
      </c>
    </row>
    <row r="1429" spans="1:14" x14ac:dyDescent="0.35">
      <c r="D1429" t="s">
        <v>1850</v>
      </c>
      <c r="H1429" t="s">
        <v>1855</v>
      </c>
      <c r="M1429" t="s">
        <v>1846</v>
      </c>
    </row>
    <row r="1430" spans="1:14" x14ac:dyDescent="0.35">
      <c r="D1430" t="s">
        <v>1851</v>
      </c>
      <c r="H1430" t="s">
        <v>1847</v>
      </c>
      <c r="M1430" t="s">
        <v>1846</v>
      </c>
    </row>
    <row r="1431" spans="1:14" x14ac:dyDescent="0.35">
      <c r="D1431" t="s">
        <v>1852</v>
      </c>
      <c r="H1431" t="s">
        <v>1847</v>
      </c>
      <c r="M1431" t="s">
        <v>1846</v>
      </c>
    </row>
    <row r="1433" spans="1:14" s="5" customFormat="1" x14ac:dyDescent="0.35">
      <c r="A1433" s="86" t="s">
        <v>34</v>
      </c>
    </row>
    <row r="1435" spans="1:14" ht="24.5" x14ac:dyDescent="0.35">
      <c r="B1435" s="83" t="s">
        <v>1857</v>
      </c>
      <c r="D1435" s="113" t="s">
        <v>1856</v>
      </c>
      <c r="E1435" s="113" t="s">
        <v>1859</v>
      </c>
      <c r="F1435" s="113" t="s">
        <v>1860</v>
      </c>
      <c r="G1435" s="113" t="s">
        <v>1861</v>
      </c>
      <c r="H1435" s="113" t="s">
        <v>1862</v>
      </c>
      <c r="I1435" s="113" t="s">
        <v>1863</v>
      </c>
      <c r="J1435" s="113" t="s">
        <v>1864</v>
      </c>
      <c r="K1435" s="113" t="s">
        <v>1865</v>
      </c>
      <c r="M1435" s="113" t="s">
        <v>1866</v>
      </c>
      <c r="N1435" s="113" t="s">
        <v>1867</v>
      </c>
    </row>
    <row r="1436" spans="1:14" x14ac:dyDescent="0.35">
      <c r="D1436">
        <v>12</v>
      </c>
      <c r="E1436" s="10">
        <v>8.0799999999999997E-2</v>
      </c>
      <c r="F1436" s="12">
        <v>2.0529999999999999</v>
      </c>
      <c r="G1436" s="178">
        <f t="shared" ref="G1436:G1450" si="39">3.1415*(E1436/2)^2</f>
        <v>5.1274306399999997E-3</v>
      </c>
      <c r="H1436">
        <v>3.31</v>
      </c>
      <c r="I1436">
        <v>5.2110000000000003</v>
      </c>
      <c r="J1436">
        <v>1.5880000000000001</v>
      </c>
      <c r="K1436">
        <v>25</v>
      </c>
      <c r="M1436" s="179">
        <v>0.03</v>
      </c>
      <c r="N1436" s="10">
        <f t="shared" ref="N1436:N1450" si="40">G1436/M1436</f>
        <v>0.17091435466666666</v>
      </c>
    </row>
    <row r="1437" spans="1:14" x14ac:dyDescent="0.35">
      <c r="D1437">
        <v>13</v>
      </c>
      <c r="E1437" s="10">
        <v>7.1999999999999995E-2</v>
      </c>
      <c r="F1437" s="12">
        <v>1.8280000000000001</v>
      </c>
      <c r="G1437" s="178">
        <f t="shared" si="39"/>
        <v>4.0713839999999999E-3</v>
      </c>
      <c r="H1437">
        <v>2.62</v>
      </c>
      <c r="I1437">
        <v>6.5709999999999997</v>
      </c>
      <c r="J1437">
        <v>2.0030000000000001</v>
      </c>
      <c r="M1437" s="10">
        <f t="shared" ref="M1437:M1450" si="41">M$1436</f>
        <v>0.03</v>
      </c>
      <c r="N1437" s="10">
        <f t="shared" si="40"/>
        <v>0.13571279999999999</v>
      </c>
    </row>
    <row r="1438" spans="1:14" x14ac:dyDescent="0.35">
      <c r="D1438">
        <v>14</v>
      </c>
      <c r="E1438" s="10">
        <v>6.4100000000000004E-2</v>
      </c>
      <c r="F1438" s="12">
        <v>1.6279999999999999</v>
      </c>
      <c r="G1438" s="178">
        <f t="shared" si="39"/>
        <v>3.2269566537500008E-3</v>
      </c>
      <c r="H1438">
        <v>2.08</v>
      </c>
      <c r="I1438">
        <v>8.2859999999999996</v>
      </c>
      <c r="J1438">
        <v>2.5249999999999999</v>
      </c>
      <c r="K1438">
        <v>20</v>
      </c>
      <c r="M1438" s="10">
        <f t="shared" si="41"/>
        <v>0.03</v>
      </c>
      <c r="N1438" s="10">
        <f t="shared" si="40"/>
        <v>0.10756522179166669</v>
      </c>
    </row>
    <row r="1439" spans="1:14" x14ac:dyDescent="0.35">
      <c r="D1439">
        <v>15</v>
      </c>
      <c r="E1439" s="10">
        <v>5.7099999999999998E-2</v>
      </c>
      <c r="F1439" s="12">
        <v>1.45</v>
      </c>
      <c r="G1439" s="178">
        <f t="shared" si="39"/>
        <v>2.56064450375E-3</v>
      </c>
      <c r="H1439">
        <v>1.65</v>
      </c>
      <c r="I1439">
        <v>10.45</v>
      </c>
      <c r="J1439">
        <v>3.1840000000000002</v>
      </c>
      <c r="M1439" s="10">
        <f t="shared" si="41"/>
        <v>0.03</v>
      </c>
      <c r="N1439" s="10">
        <f t="shared" si="40"/>
        <v>8.5354816791666663E-2</v>
      </c>
    </row>
    <row r="1440" spans="1:14" x14ac:dyDescent="0.35">
      <c r="D1440">
        <v>16</v>
      </c>
      <c r="E1440" s="10">
        <v>5.0799999999999998E-2</v>
      </c>
      <c r="F1440" s="12">
        <v>1.2909999999999999</v>
      </c>
      <c r="G1440" s="178">
        <f t="shared" si="39"/>
        <v>2.0267701400000001E-3</v>
      </c>
      <c r="H1440">
        <v>1.31</v>
      </c>
      <c r="I1440">
        <v>13.17</v>
      </c>
      <c r="J1440">
        <v>4.016</v>
      </c>
      <c r="M1440" s="10">
        <f t="shared" si="41"/>
        <v>0.03</v>
      </c>
      <c r="N1440" s="10">
        <f t="shared" si="40"/>
        <v>6.7559004666666672E-2</v>
      </c>
    </row>
    <row r="1441" spans="1:14" x14ac:dyDescent="0.35">
      <c r="D1441">
        <v>17</v>
      </c>
      <c r="E1441" s="10">
        <v>4.53E-2</v>
      </c>
      <c r="F1441" s="12">
        <v>1.1499999999999999</v>
      </c>
      <c r="G1441" s="178">
        <f t="shared" si="39"/>
        <v>1.61166018375E-3</v>
      </c>
      <c r="H1441">
        <v>1.04</v>
      </c>
      <c r="I1441">
        <v>16.61</v>
      </c>
      <c r="J1441">
        <v>5.0640000000000001</v>
      </c>
      <c r="M1441" s="10">
        <f t="shared" si="41"/>
        <v>0.03</v>
      </c>
      <c r="N1441" s="10">
        <f t="shared" si="40"/>
        <v>5.3722006125000006E-2</v>
      </c>
    </row>
    <row r="1442" spans="1:14" x14ac:dyDescent="0.35">
      <c r="D1442">
        <v>18</v>
      </c>
      <c r="E1442" s="10">
        <v>4.0300000000000002E-2</v>
      </c>
      <c r="F1442" s="12">
        <v>1.024</v>
      </c>
      <c r="G1442" s="178">
        <f t="shared" si="39"/>
        <v>1.2755196837500001E-3</v>
      </c>
      <c r="H1442">
        <v>0.82299999999999995</v>
      </c>
      <c r="I1442">
        <v>20.95</v>
      </c>
      <c r="J1442">
        <v>6.3849999999999998</v>
      </c>
      <c r="K1442">
        <v>14</v>
      </c>
      <c r="M1442" s="10">
        <f t="shared" si="41"/>
        <v>0.03</v>
      </c>
      <c r="N1442" s="10">
        <f t="shared" si="40"/>
        <v>4.2517322791666673E-2</v>
      </c>
    </row>
    <row r="1443" spans="1:14" x14ac:dyDescent="0.35">
      <c r="D1443">
        <v>19</v>
      </c>
      <c r="E1443" s="10">
        <v>3.5900000000000001E-2</v>
      </c>
      <c r="F1443" s="12">
        <v>0.91200000000000003</v>
      </c>
      <c r="G1443" s="178">
        <f t="shared" si="39"/>
        <v>1.01219915375E-3</v>
      </c>
      <c r="H1443">
        <v>0.65300000000000002</v>
      </c>
      <c r="I1443">
        <v>26.42</v>
      </c>
      <c r="J1443">
        <v>8.0510000000000002</v>
      </c>
      <c r="K1443" t="s">
        <v>1858</v>
      </c>
      <c r="M1443" s="10">
        <f t="shared" si="41"/>
        <v>0.03</v>
      </c>
      <c r="N1443" s="10">
        <f t="shared" si="40"/>
        <v>3.373997179166667E-2</v>
      </c>
    </row>
    <row r="1444" spans="1:14" x14ac:dyDescent="0.35">
      <c r="D1444">
        <v>20</v>
      </c>
      <c r="E1444" s="10">
        <v>3.2000000000000001E-2</v>
      </c>
      <c r="F1444" s="12">
        <v>0.81200000000000006</v>
      </c>
      <c r="G1444" s="178">
        <f t="shared" si="39"/>
        <v>8.0422399999999998E-4</v>
      </c>
      <c r="H1444">
        <v>0.51800000000000002</v>
      </c>
      <c r="I1444">
        <v>33.31</v>
      </c>
      <c r="J1444">
        <v>10.15</v>
      </c>
      <c r="K1444">
        <v>11</v>
      </c>
      <c r="M1444" s="10">
        <f t="shared" si="41"/>
        <v>0.03</v>
      </c>
      <c r="N1444" s="10">
        <f t="shared" si="40"/>
        <v>2.6807466666666668E-2</v>
      </c>
    </row>
    <row r="1445" spans="1:14" x14ac:dyDescent="0.35">
      <c r="D1445">
        <v>21</v>
      </c>
      <c r="E1445" s="10">
        <v>2.8500000000000001E-2</v>
      </c>
      <c r="F1445" s="12">
        <v>0.72299999999999998</v>
      </c>
      <c r="G1445" s="178">
        <f t="shared" si="39"/>
        <v>6.3792084375000003E-4</v>
      </c>
      <c r="H1445">
        <v>0.41</v>
      </c>
      <c r="I1445">
        <v>42</v>
      </c>
      <c r="J1445">
        <v>12.8</v>
      </c>
      <c r="K1445" t="s">
        <v>1858</v>
      </c>
      <c r="M1445" s="10">
        <f t="shared" si="41"/>
        <v>0.03</v>
      </c>
      <c r="N1445" s="10">
        <f t="shared" si="40"/>
        <v>2.1264028125000001E-2</v>
      </c>
    </row>
    <row r="1446" spans="1:14" x14ac:dyDescent="0.35">
      <c r="D1446">
        <v>22</v>
      </c>
      <c r="E1446" s="10">
        <v>2.53E-2</v>
      </c>
      <c r="F1446" s="12">
        <v>0.64400000000000002</v>
      </c>
      <c r="G1446" s="178">
        <f t="shared" si="39"/>
        <v>5.0271068374999994E-4</v>
      </c>
      <c r="H1446">
        <v>0.32600000000000001</v>
      </c>
      <c r="I1446">
        <v>52.96</v>
      </c>
      <c r="J1446">
        <v>16.14</v>
      </c>
      <c r="K1446">
        <v>7</v>
      </c>
      <c r="M1446" s="10">
        <f t="shared" si="41"/>
        <v>0.03</v>
      </c>
      <c r="N1446" s="10">
        <f t="shared" si="40"/>
        <v>1.6757022791666666E-2</v>
      </c>
    </row>
    <row r="1447" spans="1:14" x14ac:dyDescent="0.35">
      <c r="D1447">
        <v>23</v>
      </c>
      <c r="E1447" s="10">
        <v>2.2599999999999999E-2</v>
      </c>
      <c r="F1447" s="12">
        <v>0.57299999999999995</v>
      </c>
      <c r="G1447" s="178">
        <f t="shared" si="39"/>
        <v>4.01138135E-4</v>
      </c>
      <c r="H1447">
        <v>0.25800000000000001</v>
      </c>
      <c r="I1447">
        <v>66.790000000000006</v>
      </c>
      <c r="J1447">
        <v>20.36</v>
      </c>
      <c r="K1447" t="s">
        <v>1858</v>
      </c>
      <c r="M1447" s="10">
        <f t="shared" si="41"/>
        <v>0.03</v>
      </c>
      <c r="N1447" s="10">
        <f t="shared" si="40"/>
        <v>1.3371271166666667E-2</v>
      </c>
    </row>
    <row r="1448" spans="1:14" x14ac:dyDescent="0.35">
      <c r="D1448">
        <v>24</v>
      </c>
      <c r="E1448" s="10">
        <v>2.01E-2</v>
      </c>
      <c r="F1448" s="12">
        <v>0.51100000000000001</v>
      </c>
      <c r="G1448" s="178">
        <f t="shared" si="39"/>
        <v>3.1729935374999999E-4</v>
      </c>
      <c r="H1448">
        <v>0.20499999999999999</v>
      </c>
      <c r="I1448">
        <v>84.22</v>
      </c>
      <c r="J1448">
        <v>25.67</v>
      </c>
      <c r="K1448">
        <v>3.5</v>
      </c>
      <c r="M1448" s="10">
        <f t="shared" si="41"/>
        <v>0.03</v>
      </c>
      <c r="N1448" s="10">
        <f t="shared" si="40"/>
        <v>1.0576645125000001E-2</v>
      </c>
    </row>
    <row r="1449" spans="1:14" x14ac:dyDescent="0.35">
      <c r="D1449">
        <v>25</v>
      </c>
      <c r="E1449" s="10">
        <v>1.7899999999999999E-2</v>
      </c>
      <c r="F1449" s="12">
        <v>0.45500000000000002</v>
      </c>
      <c r="G1449" s="178">
        <f t="shared" si="39"/>
        <v>2.5164200374999999E-4</v>
      </c>
      <c r="H1449">
        <v>0.16200000000000001</v>
      </c>
      <c r="I1449">
        <v>106.2</v>
      </c>
      <c r="J1449">
        <v>32.369999999999997</v>
      </c>
      <c r="K1449" t="s">
        <v>1858</v>
      </c>
      <c r="M1449" s="10">
        <f t="shared" si="41"/>
        <v>0.03</v>
      </c>
      <c r="N1449" s="10">
        <f t="shared" si="40"/>
        <v>8.3880667916666658E-3</v>
      </c>
    </row>
    <row r="1450" spans="1:14" x14ac:dyDescent="0.35">
      <c r="D1450">
        <v>26</v>
      </c>
      <c r="E1450" s="10">
        <v>1.5900000000000001E-2</v>
      </c>
      <c r="F1450" s="12">
        <v>0.40500000000000003</v>
      </c>
      <c r="G1450" s="178">
        <f t="shared" si="39"/>
        <v>1.9855065375000002E-4</v>
      </c>
      <c r="H1450">
        <v>0.129</v>
      </c>
      <c r="I1450">
        <v>133.9</v>
      </c>
      <c r="J1450">
        <v>40.81</v>
      </c>
      <c r="K1450">
        <v>2.2000000000000002</v>
      </c>
      <c r="M1450" s="10">
        <f t="shared" si="41"/>
        <v>0.03</v>
      </c>
      <c r="N1450" s="10">
        <f t="shared" si="40"/>
        <v>6.618355125000001E-3</v>
      </c>
    </row>
    <row r="1452" spans="1:14" s="5" customFormat="1" x14ac:dyDescent="0.35">
      <c r="A1452" s="86" t="s">
        <v>2887</v>
      </c>
    </row>
    <row r="1454" spans="1:14" x14ac:dyDescent="0.35">
      <c r="B1454" s="83" t="s">
        <v>1377</v>
      </c>
    </row>
    <row r="1455" spans="1:14" x14ac:dyDescent="0.35">
      <c r="C1455" t="s">
        <v>2888</v>
      </c>
      <c r="M1455" s="1" t="s">
        <v>2886</v>
      </c>
    </row>
    <row r="1456" spans="1:14" x14ac:dyDescent="0.35">
      <c r="C1456" t="s">
        <v>2890</v>
      </c>
      <c r="M1456" s="1" t="s">
        <v>2889</v>
      </c>
    </row>
  </sheetData>
  <hyperlinks>
    <hyperlink ref="U125" r:id="rId1"/>
    <hyperlink ref="P95" r:id="rId2"/>
    <hyperlink ref="P97" r:id="rId3"/>
    <hyperlink ref="P96" r:id="rId4"/>
    <hyperlink ref="K279" r:id="rId5"/>
    <hyperlink ref="K283" r:id="rId6"/>
    <hyperlink ref="K284" r:id="rId7"/>
    <hyperlink ref="O294" r:id="rId8" display="https://peer.asee.org/the-relationship-between-the-tightening-torque-and-the-clamp-force.pdf"/>
    <hyperlink ref="K1390" r:id="rId9"/>
    <hyperlink ref="K1417" r:id="rId10"/>
    <hyperlink ref="K1418" r:id="rId11"/>
    <hyperlink ref="M1351" r:id="rId12"/>
    <hyperlink ref="M1352" r:id="rId13"/>
    <hyperlink ref="M1353" r:id="rId14"/>
    <hyperlink ref="M1341" r:id="rId15"/>
    <hyperlink ref="M1342" r:id="rId16"/>
    <hyperlink ref="M1343" r:id="rId17"/>
    <hyperlink ref="M1344" r:id="rId18"/>
    <hyperlink ref="D1355" r:id="rId19" display="https://www.edn.com/5G/4461282/Teardown--Zigbee-controlled-LED-light-bulb"/>
    <hyperlink ref="D1356" r:id="rId20" display="https://www.edn.com/design/led/4442724/Teardown--What-killed-this-LED-bulb-"/>
    <hyperlink ref="D1357" r:id="rId21" display="https://www.edn.com/design/test-and-measurement/4459198/Teardown--A19-LED-bulb"/>
    <hyperlink ref="D1358" r:id="rId22" display="https://www.edn.com/design/consumer/4458082/Teardown--A-Wi-Fi-smart-plug-for-home-automation"/>
    <hyperlink ref="D1359" r:id="rId23" display="https://www.edn.com/electronics-blogs/led-zone/4440717/Will-LED-based-Wi-Fi-work-"/>
    <hyperlink ref="D1360" r:id="rId24" display="https://www.edn.com/electronics-blogs/eye-on-iot-/4458410/Connected-lighting-may-be-the-IoT-killer-app"/>
    <hyperlink ref="D1361" r:id="rId25" display="http://www.edn.com/electronics-blogs/living-analog/4442767/LED-bulbs-can-bring-heat"/>
    <hyperlink ref="D1362" r:id="rId26" display="http://www.edn.com/design/led/4369641/LED-bulbs-reveal-different-design-approaches"/>
    <hyperlink ref="D1363" r:id="rId27" display="http://www.edn.com/design/led/4410231/Get-more-operating-life-from-LED-based-bulbs-"/>
    <hyperlink ref="D1364" r:id="rId28" display="http://www.edn.com/electronics-blogs/led-insights/4423570/That-60W-equivalent-LED--What-you-don-t-know--and-what-no-one-will-tell-you-"/>
    <hyperlink ref="D1365" r:id="rId29" display="http://www.edn.com/electronics-blogs/brians-brain/4441540/The-LED--incandescent-light-bulb-heir-apparent"/>
    <hyperlink ref="D1366" r:id="rId30" display="http://www.edn.com/electronics-blogs/led-zone/4441442/How-long-do-LEDs-really-last-"/>
    <hyperlink ref="M1345" r:id="rId31"/>
    <hyperlink ref="M1346" r:id="rId32"/>
    <hyperlink ref="M1347" r:id="rId33"/>
    <hyperlink ref="M1348" r:id="rId34"/>
    <hyperlink ref="M1349" r:id="rId35"/>
    <hyperlink ref="M1339" r:id="rId36"/>
    <hyperlink ref="M1340" r:id="rId37"/>
    <hyperlink ref="M1368" r:id="rId38"/>
    <hyperlink ref="T1370" r:id="rId39"/>
    <hyperlink ref="M1371" r:id="rId40"/>
    <hyperlink ref="M1372" r:id="rId41"/>
    <hyperlink ref="O1372" r:id="rId42"/>
    <hyperlink ref="M1333" r:id="rId43"/>
    <hyperlink ref="M1334" r:id="rId44"/>
    <hyperlink ref="M1335" r:id="rId45"/>
    <hyperlink ref="M1336" r:id="rId46"/>
    <hyperlink ref="M1337" r:id="rId47"/>
    <hyperlink ref="K1420" r:id="rId48"/>
    <hyperlink ref="M1374" r:id="rId49"/>
    <hyperlink ref="O1374" r:id="rId50"/>
    <hyperlink ref="M1278" r:id="rId51"/>
    <hyperlink ref="M1279" r:id="rId52" location="Comparison_of_common_SMD_(surface_mounted)_LED_modules" display="https://en.wikipedia.org/wiki/LED_lamp - Comparison_of_common_SMD_(surface_mounted)_LED_modules"/>
    <hyperlink ref="M1286" r:id="rId53"/>
    <hyperlink ref="M1280" r:id="rId54"/>
    <hyperlink ref="M1282" r:id="rId55" display="https://www.bridgelux.com/sites/default/files/resource_media/Bridgelux DS90 Vero 10 Gen 7 Array Data Sheet 20181105 Rev N.pdf"/>
    <hyperlink ref="M1283" r:id="rId56"/>
    <hyperlink ref="M1277" r:id="rId57" location="Comparison_of_common_SMD_(surface_mounted)_LED_modules" display="https://en.wikipedia.org/wiki/LED_lamp - Comparison_of_common_SMD_(surface_mounted)_LED_modules"/>
    <hyperlink ref="M1327" r:id="rId58" display="https://www.digikey.com/products/en/integrated-circuits-ics/pmic-voltage-regulators-linear/699?k=voltage+regulator&amp;k=&amp;pkeyword=voltage+regulator&amp;sv=0&amp;pv7=1&amp;sf=0&amp;FV=1140003%2C8f40064%2C8f40010%2C8f400aa%2C8f40013%2C8f400db%2C8f40019%2C8f4001a%2C8f4001c%2C8f40034%2C8f40043%2C8f40044%2C8f40051%2C8f40053%2C1bcc0032%2Cffe002bb%2C204016f%2C204003a%2C204004b%2C204004d%2C204005a%2C204005f%2C2040063&amp;quantity=&amp;ColumnSort=1000011&amp;page=1&amp;stock=1&amp;pageSize=25"/>
    <hyperlink ref="M1328" r:id="rId59"/>
    <hyperlink ref="M1289" r:id="rId60"/>
    <hyperlink ref="O1283" r:id="rId61"/>
    <hyperlink ref="M1320" r:id="rId62"/>
    <hyperlink ref="M1292" r:id="rId63"/>
    <hyperlink ref="M1296" r:id="rId64"/>
    <hyperlink ref="M1294" r:id="rId65"/>
    <hyperlink ref="M1295" r:id="rId66"/>
    <hyperlink ref="M1321" r:id="rId67"/>
    <hyperlink ref="M1322" r:id="rId68"/>
    <hyperlink ref="M1323" r:id="rId69"/>
    <hyperlink ref="M1324" r:id="rId70"/>
    <hyperlink ref="M1297" r:id="rId71"/>
    <hyperlink ref="M1298" r:id="rId72"/>
    <hyperlink ref="M1329" r:id="rId73"/>
    <hyperlink ref="M1330" r:id="rId74"/>
    <hyperlink ref="M1331" r:id="rId75"/>
    <hyperlink ref="M1300" r:id="rId76"/>
    <hyperlink ref="M1299" r:id="rId77"/>
    <hyperlink ref="M1302" r:id="rId78"/>
    <hyperlink ref="M1287" r:id="rId79"/>
    <hyperlink ref="M1306" r:id="rId80"/>
    <hyperlink ref="M1307" r:id="rId81"/>
    <hyperlink ref="M1308" r:id="rId82"/>
    <hyperlink ref="M1309" r:id="rId83"/>
    <hyperlink ref="M1310" r:id="rId84"/>
    <hyperlink ref="M1304" r:id="rId85"/>
    <hyperlink ref="O1304" r:id="rId86"/>
    <hyperlink ref="M1312" r:id="rId87"/>
    <hyperlink ref="M1313" r:id="rId88"/>
    <hyperlink ref="M1314" r:id="rId89"/>
    <hyperlink ref="M1318" r:id="rId90" display="https://people.eecs.berkeley.edu/~boser/courses/49/lectures/L16 H-Bridge.pdf"/>
    <hyperlink ref="M1325" r:id="rId91"/>
    <hyperlink ref="M1275" r:id="rId92"/>
    <hyperlink ref="J147" r:id="rId93"/>
    <hyperlink ref="K389" r:id="rId94"/>
    <hyperlink ref="K390" r:id="rId95"/>
    <hyperlink ref="K391" r:id="rId96"/>
    <hyperlink ref="K1078" r:id="rId97"/>
    <hyperlink ref="M408" r:id="rId98"/>
    <hyperlink ref="K384" r:id="rId99"/>
    <hyperlink ref="R314" r:id="rId100"/>
    <hyperlink ref="R316" r:id="rId101"/>
    <hyperlink ref="R315" r:id="rId102"/>
    <hyperlink ref="K380" r:id="rId103"/>
    <hyperlink ref="S1044" r:id="rId104"/>
    <hyperlink ref="K361" r:id="rId105"/>
    <hyperlink ref="K362" r:id="rId106"/>
    <hyperlink ref="K386" r:id="rId107"/>
    <hyperlink ref="K359" r:id="rId108"/>
    <hyperlink ref="K333" r:id="rId109"/>
    <hyperlink ref="M411" r:id="rId110"/>
    <hyperlink ref="P466" r:id="rId111"/>
    <hyperlink ref="K454" r:id="rId112" location="p238min=0;56&amp;p238max=56;112" display="http://www.ti.com/power-management/linear-regulators-ldo/products.html - p238min=0;56&amp;p238max=56;112"/>
    <hyperlink ref="K455" r:id="rId113"/>
    <hyperlink ref="K456" r:id="rId114"/>
    <hyperlink ref="K457" r:id="rId115"/>
    <hyperlink ref="K461" r:id="rId116"/>
    <hyperlink ref="K462" r:id="rId117"/>
    <hyperlink ref="K463" r:id="rId118"/>
    <hyperlink ref="P467" r:id="rId119"/>
    <hyperlink ref="M410" r:id="rId120"/>
    <hyperlink ref="O321" r:id="rId121"/>
    <hyperlink ref="S321" r:id="rId122"/>
    <hyperlink ref="K1077" r:id="rId123"/>
    <hyperlink ref="N1080" r:id="rId124"/>
    <hyperlink ref="N1095" r:id="rId125"/>
    <hyperlink ref="N1081" r:id="rId126"/>
    <hyperlink ref="N1088" r:id="rId127"/>
    <hyperlink ref="N1082" r:id="rId128"/>
    <hyperlink ref="N1087" r:id="rId129"/>
    <hyperlink ref="N1092" r:id="rId130"/>
    <hyperlink ref="N1085" r:id="rId131"/>
    <hyperlink ref="M522" r:id="rId132" display="https://www.digikey.com/products/en/integrated-circuits-ics/pmic-voltage-regulators-dc-dc-switching-regulators/739?FV=8f40064%2C8f40069%2C8f40087%2C8f40088%2C8f40098%2C8f40010%2C8f400a4%2C8f400a7%2C8f40011%2C8f400ab%2C8f40012%2C8f400d9%2C8f400da%2C8f400db%2C8f400e3%2C8f4012c%2C8f40021%2C8f4015a%2C8f40035%2C8f4005a%2C8f40063%2Cffe002e3&amp;quantity=1000&amp;ColumnSort=1000011&amp;page=1&amp;k=buck+converter&amp;pageSize=25&amp;pkeyword=buck+converter"/>
    <hyperlink ref="M523" r:id="rId133"/>
    <hyperlink ref="M676" r:id="rId134"/>
    <hyperlink ref="M679" r:id="rId135"/>
    <hyperlink ref="M675" r:id="rId136" display="https://www.digikey.com/products/en/inductors-coils-chokes/fixed-inductors/71?FV=4e804d7%2C4e804f7%2C4e80507%2C4e8070c%2C4e80748%2C4e8076d%2C4e80844%2C4e80845%2C4e80877%2C4e800e0%2C4e800e2%2C4e800e6%2C4e800e8%2C4e8091c%2C4e800ea%2C4e800ed%2C4e800ee%2C4e800ef%2C4e800f0%2C4e800f1%2C4e800f2%2C4e80976%2C4e8098b%2C4e80abd%2C4e80aeb%2C4e80b8c%2C4e80c45%2C4e80cab%2C4e80cb0%2C4e80cdc%2C4e80d5f%2C4e80d85%2C4e80dd1%2C4e80edf%2C4e80028%2C4e80029%2C4e81087%2C4e810cd%2C4e8113d%2C4e8115f%2C4e814dc%2C4e8173f%2C4e818f6%2C4e81a7c%2C4e81afc%2Cmu10%C2%B5H%7C2087%2Cffe00047%2Cmu235mA%7C2088%2Cmu300mA%7C2088%2Cmu450mA%7C2088&amp;quantity=0&amp;ColumnSort=1000011&amp;page=1&amp;pageSize=25"/>
    <hyperlink ref="Z523" r:id="rId137"/>
    <hyperlink ref="M684" r:id="rId138" display="https://www.digikey.com/products/en/inductors-coils-chokes/fixed-inductors/71?FV=1400008%2Cmu47%C2%B5H%7C2087%2Cffe00047%2C4e804ba%2C4e8007d%2C4e804f7%2C4e80507%2C4e8050f%2C4e80511%2C4e80082%2C4e8008b%2C4e8008c%2C4e8057f%2C4e8008f%2C4e805e3%2C4e805e6%2C4e805ec%2C4e805ee%2C4e8009a%2C4e8009c%2C4e800a0%2C4e800aa%2C4e800ac%2C4e806bf%2C4e800ad%2C4e800ae%2C4e806e5%2C4e800b4%2C4e800b5%2C4e80716%2C4e80718%2C4e800b8%2C4e800b9%2C4e800bb%2C4e8075a%2C4e800be%2C4e8076d%2C4e800bf%2C4e800c0%2C4e800c1%2C4e800c2%2C4e800c7%2C4e800c8%2C4e800cb%2C4e807fd%2C4e800cf%2C4e800d2%2C4e80876%2C4e800dd%2C4e800de%2C4e800df%2C4e800e0%2C4e800e2%2C4e800e5%2C4e800e7%2C4e800e8%2C4e8091c%2C4e800ea%2C4e800eb%2C4e800ed%2C4e800ee%2C4e800ef%2C4e800f0%2C4e800f1%2C4e800f3%2C4e80a24%2C4e8010d%2C4e80aa0%2C4e80b01%2C4e80b24%2C4e80b8c%2C4e80c27%2C4e80c51%2C4e80c5a%2C4e80c64%2C4e80c69%2C4e80c6a%2C4e80c6f%2C4e80c79%2C4e80c94%2C4e80c9a%2C4e80cab%2C4e80cb0%2C4e80cda%2C4e80cdc%2C4e80021%2C4e80ced%2C4e80cf3%2C4e80cf4%2C4e80d0a%2C4e80d3b%2C4e80d51%2C4e80d70%2C4e80d85%2C4e80db6%2C4e80dd1%2C4e80de7%2C4e80e26%2C4e80e4b%2C4e80ea1%2C4e80f0b%2C4e80f25%2C4e80f6c%2C4e80028%2C4e80fc2%2C4e80ff6%2C4e80029%2C4e81067%2C4e810c8%2C4e8112d%2C4e8113f%2C4e811cd%2C4e811de%2C4e811e5%2C4e812f8%2C4e81330%2C4e81362%2C4e813a9%2C4e813d9%2C4e8141a%2C4e81436%2C4e81449%2C4e8148e%2C4e81494%2C4e814b1%2C4e814bf%2C4e814d1%2C4e816c2%2C4e816c6%2C4e816df%2C4e8187f%2C4e81883%2C4e81887%2C4e81888%2C4e8003f%2C4e81923%2C4e81960%2C4e81a2c%2C4e81a34%2C4e81aa5%2C4e81b06%2C4e81b28%2C4e81b48%2C4e80308%2C4e80052%2C4e8033b%2C4e80343%2C4e80055%2C4e80360%2C4e80361%2C4e80364%2C4e80365%2C4e80367%2C4e80058%2C4e8005a%2C4e80060%2C4e80061%2C4e80062%2C4e803d7&amp;quantity=0&amp;ColumnSort=1000011&amp;page=1&amp;pageSize=25"/>
    <hyperlink ref="M685" r:id="rId139"/>
    <hyperlink ref="M524" r:id="rId140"/>
    <hyperlink ref="M672" r:id="rId141"/>
    <hyperlink ref="M673" r:id="rId142"/>
    <hyperlink ref="Z524" r:id="rId143"/>
    <hyperlink ref="L471" r:id="rId144"/>
    <hyperlink ref="M681" r:id="rId145"/>
    <hyperlink ref="M682" r:id="rId146"/>
    <hyperlink ref="K324" r:id="rId147"/>
    <hyperlink ref="K325" r:id="rId148"/>
    <hyperlink ref="M533" r:id="rId149"/>
    <hyperlink ref="M536" r:id="rId150"/>
    <hyperlink ref="M537" r:id="rId151"/>
    <hyperlink ref="M547" r:id="rId152"/>
    <hyperlink ref="M548" r:id="rId153"/>
    <hyperlink ref="M549" r:id="rId154"/>
    <hyperlink ref="K332" r:id="rId155"/>
    <hyperlink ref="M556" r:id="rId156"/>
    <hyperlink ref="M557" r:id="rId157"/>
    <hyperlink ref="M550" r:id="rId158"/>
    <hyperlink ref="M552" r:id="rId159" display="https://www.digikey.com/products/en/circuit-protection/tvs-varistors-movs/141?FV=ffe0008d%2C1140050%2C1f140000%2Cmu450V%7C2148%2Cmu455V%7C2148%2Cmu468.5V%7C2148%2Cmu470V%7C2148%2Cmu471.5V%7C2148%2Cmu480V%7C2148%2Cmu490V%7C2148%2Cmu501V%7C2148%2Cmu503V%7C2148%2Cmu510V%7C2148%2Cmu513.5V%7C2148%2Cmu518.5V%7C2148%2Cmu528.5V%7C2148%2Cmu549.5V%7C2148%2Cmu559V%7C2148%2Cmu560V%7C2148%2Cmu600V%7C2148&amp;quantity=0&amp;ColumnSort=1000011&amp;page=1&amp;pageSize=25"/>
    <hyperlink ref="M553" r:id="rId160"/>
    <hyperlink ref="M570" display="https://www.digikey.com/products/en/resistors/chip-resistor-surface-mount/52?k=resistor+chip&amp;k=&amp;pkeyword=resistor+chip&amp;sv=0&amp;pv2=6&amp;sf=0&amp;FV=1c0001%2C1f140000%2Cmu10+Ohms%7C2085%2Cffe00034%2C8053a%2C8008f%2C80030%2C8021a%2C8021e%2C80006%2C80042%2C80007%2C800"/>
    <hyperlink ref="M571" r:id="rId161"/>
    <hyperlink ref="M586" r:id="rId162"/>
    <hyperlink ref="M587" r:id="rId163"/>
    <hyperlink ref="M589" r:id="rId164"/>
    <hyperlink ref="M590" r:id="rId165"/>
    <hyperlink ref="M574" r:id="rId166"/>
    <hyperlink ref="M573" r:id="rId167"/>
    <hyperlink ref="K458" r:id="rId168"/>
    <hyperlink ref="Y321" r:id="rId169"/>
    <hyperlink ref="L396" r:id="rId170"/>
    <hyperlink ref="P396" r:id="rId171"/>
    <hyperlink ref="N405" r:id="rId172"/>
    <hyperlink ref="N406" r:id="rId173"/>
    <hyperlink ref="K464" r:id="rId174"/>
    <hyperlink ref="K482" r:id="rId175"/>
    <hyperlink ref="M630" r:id="rId176" display="https://www.digikey.com/products/en/capacitors/ceramic-capacitors/60?FV=380002%2C403364%2C400fa3%2C401155%2C400007%2C400008%2C1f140000%2Cffe0003c%2Cmu1.5%C2%B5F%7C2049%2Cmu1%C2%B5F%7C2049%2Cmu10%C2%B5F%7C2049%2Cmu2.2%C2%B5F%7C2049%2Cmu3.3%C2%B5F%7C2049%2Cmu4.7%C2%B5F%7C2049&amp;quantity=0&amp;ColumnSort=1000011&amp;page=1&amp;k=capacitor&amp;pageSize=25&amp;pkeyword=capacitor"/>
    <hyperlink ref="M634" r:id="rId177"/>
    <hyperlink ref="M632" r:id="rId178"/>
    <hyperlink ref="M633" r:id="rId179"/>
    <hyperlink ref="M621" r:id="rId180"/>
    <hyperlink ref="M624" r:id="rId181"/>
    <hyperlink ref="M623" r:id="rId182"/>
    <hyperlink ref="M622" r:id="rId183"/>
    <hyperlink ref="M690" r:id="rId184"/>
    <hyperlink ref="M540" r:id="rId185"/>
    <hyperlink ref="K352" r:id="rId186"/>
    <hyperlink ref="M710" r:id="rId187"/>
    <hyperlink ref="M711" r:id="rId188"/>
    <hyperlink ref="M592" r:id="rId189" display="https://www.digikey.com/products/en/resistors/chip-resistor-surface-mount/52?k=resistor&amp;k=&amp;pkeyword=resistor&amp;sv=0&amp;pv1291=1037&amp;sf=1&amp;FV=c0001%2C1c0001%2C2b80016%2C1f140000%2Cmu10+Ohms%7C2085%2Cffe00034%2C400005%2C400006%2C400007%2C400008%2C402382&amp;quantity=&amp;ColumnSort=0&amp;page=1&amp;pageSize=25"/>
    <hyperlink ref="M593" r:id="rId190"/>
    <hyperlink ref="M529" r:id="rId191" display="https://www.digikey.com/products/en/integrated-circuits-ics/pmic-voltage-regulators-linear/699?FV=1c0001%2C1140071%2C1140543%2C1140003%2C8f40064%2C8f40069%2C8f40087%2C8f40088%2C8f40093%2C8f40010%2C8f400aa%2C8f400b1%2C8f400db%2C8f40034%2C8f40043%2C1bcc0038%2C1bcc025f%2C1bcc0355%2C1f140000%2Cffe002bb&amp;quantity=0&amp;ColumnSort=1000011&amp;page=1&amp;k=ldo&amp;pageSize=25&amp;pkeyword=ldo"/>
    <hyperlink ref="M530" r:id="rId192"/>
    <hyperlink ref="M713" r:id="rId193"/>
    <hyperlink ref="M714" r:id="rId194"/>
    <hyperlink ref="K353" r:id="rId195"/>
    <hyperlink ref="M541" r:id="rId196"/>
    <hyperlink ref="P398" r:id="rId197"/>
    <hyperlink ref="M600" display="https://www.digikey.com/products/en/capacitors/ceramic-capacitors/60?k=capacitor&amp;k=&amp;pkeyword=capacitor&amp;sv=0&amp;pv2049=u22%C2%B5F&amp;sf=1&amp;FV=380009%2C400007%2C11401c5%2C1f140000%2Cffe0003c%2Cmu22%C2%B5F%7C2049%2Cmu33%C2%B5F%7C2049%2Cmu47%C2%B5F%7C2049&amp;quantity=&amp;"/>
    <hyperlink ref="M601" r:id="rId198"/>
    <hyperlink ref="M531" r:id="rId199"/>
    <hyperlink ref="M527" r:id="rId200"/>
    <hyperlink ref="M525" r:id="rId201" display="https://www.digikey.com/products/en/integrated-circuits-ics/pmic-voltage-regulators-dc-dc-switching-regulators/739?FV=ffe002e3%2C8f40069%2C8f40087%2C8f40088%2C8f400a4%2C8f40011%2C8f400b1%2C8f400e3%2C8f4012c%2C8f40021%2C8f40039&amp;quantity=0&amp;ColumnSort=1000011&amp;page=1&amp;pageSize=25"/>
    <hyperlink ref="M526" r:id="rId202"/>
    <hyperlink ref="U844" r:id="rId203"/>
    <hyperlink ref="V775" r:id="rId204"/>
    <hyperlink ref="M400" r:id="rId205" display="http://www.ti.com/tool/TIDA-010060?jktype=design"/>
    <hyperlink ref="M401" r:id="rId206" display="http://www.ti.com/lit/df/tidrzh6/tidrzh6.pdf"/>
    <hyperlink ref="M402" r:id="rId207" display="http://www.ti.com/lit/df/tidrzh7/tidrzh7.pdf"/>
    <hyperlink ref="D414" r:id="rId208"/>
    <hyperlink ref="M577" r:id="rId209"/>
    <hyperlink ref="M576" r:id="rId210"/>
    <hyperlink ref="M581" r:id="rId211"/>
    <hyperlink ref="M580" display="https://www.digikey.com/products/en/resistors/through-hole-resistors/53?FV=1429a8%2C142af0%2C14325d%2C14325e%2C143260%2C143267%2C143269%2C14326b%2C14349d%2C1434e8%2C143514%2C14461f%2C144814%2C144815%2C142032%2C142033%2C142034%2C142035%2C142036%2C142037%2C"/>
    <hyperlink ref="V766" r:id="rId212"/>
    <hyperlink ref="M647" r:id="rId213"/>
    <hyperlink ref="M648" r:id="rId214"/>
    <hyperlink ref="M651" r:id="rId215"/>
    <hyperlink ref="M650" r:id="rId216"/>
    <hyperlink ref="K1255" r:id="rId217"/>
    <hyperlink ref="K1254" r:id="rId218"/>
    <hyperlink ref="K1253" r:id="rId219"/>
    <hyperlink ref="M1267" r:id="rId220"/>
    <hyperlink ref="M1271" r:id="rId221"/>
    <hyperlink ref="M1269" r:id="rId222"/>
    <hyperlink ref="M1268" r:id="rId223"/>
    <hyperlink ref="M1272" r:id="rId224"/>
    <hyperlink ref="M1273" r:id="rId225"/>
    <hyperlink ref="M1266" r:id="rId226"/>
    <hyperlink ref="M1265" r:id="rId227"/>
    <hyperlink ref="W970" r:id="rId228"/>
    <hyperlink ref="M687" display="https://www.digikey.com/products/en/inductors-coils-chokes/fixed-inductors/71?k=&amp;pkeyword=&amp;sv=0&amp;pv2087=u22%C2%B5H&amp;sf=0&amp;FV=142c2800%2C142c040d%2C142c0a1c%2Cmu10%C2%B5H%7C2087%2Cmu15%C2%B5H%7C2087%2Cmu22%C2%B5H%7C2087%2Cmu2222mA%7C2088%7C1%2Cmu250mA%7C2088%"/>
    <hyperlink ref="M688" r:id="rId229"/>
    <hyperlink ref="V887" r:id="rId230"/>
    <hyperlink ref="V888" r:id="rId231"/>
    <hyperlink ref="M658" r:id="rId232"/>
    <hyperlink ref="M659" r:id="rId233"/>
    <hyperlink ref="M662" r:id="rId234"/>
    <hyperlink ref="M663" r:id="rId235"/>
    <hyperlink ref="M665" r:id="rId236"/>
    <hyperlink ref="M666" r:id="rId237"/>
    <hyperlink ref="M667" r:id="rId238"/>
    <hyperlink ref="M669" r:id="rId239"/>
    <hyperlink ref="H429" r:id="rId240"/>
    <hyperlink ref="L429" r:id="rId241"/>
    <hyperlink ref="O429" r:id="rId242"/>
    <hyperlink ref="P578" r:id="rId243"/>
    <hyperlink ref="W985" r:id="rId244"/>
    <hyperlink ref="W986" r:id="rId245"/>
    <hyperlink ref="M715" display="https://www.digikey.com/products/en/discrete-semiconductor-products/diodes-rectifiers-single/280?k=&amp;pkeyword=&amp;sv=0&amp;pv69=3&amp;sf=1&amp;FV=23c00eb%2Ce480015%2Cmu1000V%7C2071%2Cmu800V%7C2071%2Cmu880V%7C2071%2Cmu900V%7C2071%2Cmu990V%7C2071%2Cffe00118%2C1c0001&amp;quanti"/>
    <hyperlink ref="M716" r:id="rId246"/>
    <hyperlink ref="M695" r:id="rId247"/>
    <hyperlink ref="M583" r:id="rId248"/>
    <hyperlink ref="M584" r:id="rId249"/>
    <hyperlink ref="U835" r:id="rId250"/>
    <hyperlink ref="M543" r:id="rId251"/>
    <hyperlink ref="M544" r:id="rId252"/>
    <hyperlink ref="M545" r:id="rId253"/>
    <hyperlink ref="W836" r:id="rId254"/>
    <hyperlink ref="H430" r:id="rId255"/>
    <hyperlink ref="M654" r:id="rId256"/>
    <hyperlink ref="M655" r:id="rId257"/>
    <hyperlink ref="R338" r:id="rId258"/>
    <hyperlink ref="R337" r:id="rId259"/>
    <hyperlink ref="R339" r:id="rId260"/>
    <hyperlink ref="R340" r:id="rId261"/>
    <hyperlink ref="J478" r:id="rId262"/>
    <hyperlink ref="L430" r:id="rId263"/>
    <hyperlink ref="O430" r:id="rId264"/>
    <hyperlink ref="E420" r:id="rId265"/>
    <hyperlink ref="H420" r:id="rId266"/>
    <hyperlink ref="M420" r:id="rId267"/>
    <hyperlink ref="M422" r:id="rId268"/>
    <hyperlink ref="M423" r:id="rId269"/>
    <hyperlink ref="R347" r:id="rId270"/>
    <hyperlink ref="M698" r:id="rId271"/>
    <hyperlink ref="M700" r:id="rId272"/>
    <hyperlink ref="M701" r:id="rId273"/>
    <hyperlink ref="F345" r:id="rId274"/>
    <hyperlink ref="K355" r:id="rId275"/>
    <hyperlink ref="K356" r:id="rId276"/>
    <hyperlink ref="K357" r:id="rId277"/>
    <hyperlink ref="V886" r:id="rId278"/>
    <hyperlink ref="K327" r:id="rId279"/>
    <hyperlink ref="K328" r:id="rId280" location="edesign-suite" display="https://www.st.com/content/st_com/en/products/power-management/ac-dc-converters.html - edesign-suite"/>
    <hyperlink ref="R318" r:id="rId281"/>
    <hyperlink ref="R319" r:id="rId282"/>
    <hyperlink ref="H431" r:id="rId283"/>
    <hyperlink ref="L431" r:id="rId284"/>
    <hyperlink ref="O431" r:id="rId285"/>
    <hyperlink ref="L911" r:id="rId286" display="https://my.st.com/analogsimulator/flex_app/bin/smps_app_acdc_design.html?msg=%7B%22data%22%3A%7B%22application%22%3A%22acdc%22%2C%22specs%22%3A%7B%22ic%22%3A%22viper011xs%3Abuck%22%2C%22input%22%3A%7B%22v%22%3A%7B%22min%22%3A85%2C%22max%22%3A265%7D%2C%22f%22%3A50%7D%2C%22output%22%3A%5B%7B%22v%22%3A5%2C%22r%22%3A2%2C%22i%22%3A0.016%7D%5D%7D%7D%2C%22action%22%3A%22new_design%22%7D"/>
    <hyperlink ref="M596" r:id="rId287"/>
    <hyperlink ref="M609" r:id="rId288"/>
    <hyperlink ref="M610" r:id="rId289"/>
    <hyperlink ref="M697" r:id="rId290"/>
    <hyperlink ref="M703" r:id="rId291" display="https://www.digikey.com/products/en/inductors-coils-chokes/fixed-inductors/71?k=&amp;pkeyword=&amp;sv=0&amp;pv80=8&amp;sf=0&amp;FV=1f140000%2Cmu1mH%7C2087%2Cmu150mA%7C2088%2Cmu156mA%7C2088%2Cmu160mA%7C2088%2Cmu170mA%7C2088%2Cmu172mA%7C2088%2Cmu180mA%7C2088%2Cmu190mA%7C2088%2Cmu200mA%7C2088%2Cffe00047&amp;quantity=&amp;ColumnSort=1000011&amp;page=1&amp;pageSize=25"/>
    <hyperlink ref="M691" r:id="rId292"/>
    <hyperlink ref="M704" r:id="rId293"/>
    <hyperlink ref="M636" display="https://www.digikey.com/products/en/capacitors/ceramic-capacitors/60?k=&amp;pkeyword=&amp;sv=0&amp;pv69=453&amp;sf=0&amp;FV=38001f%2Cmu0.1%C2%B5F%7C2049%2Cmu0.12%C2%B5F%7C2049%2Cmu0.15%C2%B5F%7C2049%2Cmu0.18%C2%B5F%7C2049%2Cmu0.2%C2%B5F%7C2049%2Cmu0.22%C2%B5F%7C2049%2Cffe000"/>
    <hyperlink ref="M637" r:id="rId294"/>
    <hyperlink ref="M638" r:id="rId295"/>
    <hyperlink ref="M613" r:id="rId296"/>
    <hyperlink ref="M618" r:id="rId297"/>
    <hyperlink ref="M619" r:id="rId298"/>
    <hyperlink ref="G894" r:id="rId299"/>
    <hyperlink ref="J894" r:id="rId300"/>
    <hyperlink ref="M894" r:id="rId301"/>
    <hyperlink ref="M554" r:id="rId302"/>
    <hyperlink ref="M656" r:id="rId303"/>
    <hyperlink ref="M640" r:id="rId304"/>
    <hyperlink ref="M566" r:id="rId305"/>
    <hyperlink ref="M568" r:id="rId306"/>
    <hyperlink ref="K330" r:id="rId307"/>
    <hyperlink ref="M627" r:id="rId308"/>
    <hyperlink ref="M628" r:id="rId309"/>
    <hyperlink ref="M631" r:id="rId310"/>
    <hyperlink ref="M717" r:id="rId311" display="https://www.digikey.com/products/en/discrete-semiconductor-products/diodes-rectifiers-single/280?FV=mu1200V%7C2071%2Cmu1250V%7C2071%2Cmu1300V%7C2071%2Cmu1400V%7C2071%2Cmu1500V%7C2071%2Cffe00118%2C23c00eb&amp;quantity=0&amp;ColumnSort=1000011&amp;page=1&amp;k=diode&amp;pageSize=25&amp;pkeyword=diode"/>
    <hyperlink ref="M718" r:id="rId312"/>
    <hyperlink ref="M706" r:id="rId313" display="https://www.digikey.com/products/en/inductors-coils-chokes/fixed-inductors/71?k=inductor&amp;k=&amp;pkeyword=inductor&amp;sv=0&amp;umin2088=80&amp;umax2088=200&amp;rfu2088=mA&amp;sf=1&amp;FV=1140003%2C1f140000%2Cmu10mH%7C2087%7C1%2Cmu2.2mH%7C2087%7C0%2Cffe00047&amp;quantity=&amp;ColumnSort=1000011&amp;page=1&amp;pageSize=25"/>
    <hyperlink ref="M708" r:id="rId314"/>
    <hyperlink ref="M707" r:id="rId315"/>
    <hyperlink ref="M643" r:id="rId316" display="https://www.digikey.com/products/en/capacitors/ceramic-capacitors/60?FV=1c0001%2C380001%2C380475%2C3800cf%2C380018%2C38010c%2Cmu0.1%C2%B5F%7C2049%2Cmu0.12%C2%B5F%7C2049%2Cmu0.14%C2%B5F%7C2049%2Cmu0.15%C2%B5F%7C2049%2Cmu0.16%C2%B5F%7C2049%2Cmu0.18%C2%B5F%7C2049%2Cmu0.2%C2%B5F%7C2049%2Cmu0.22%C2%B5F%7C2049%2Cmu0.25%C2%B5F%7C2049%2Cmu0.27%C2%B5F%7C2049%2Cmu0.3%C2%B5F%7C2049%2Cmu0.33%C2%B5F%7C2049%2Cmu0.39%C2%B5F%7C2049%2Cmu0.47%C2%B5F%7C2049%2Cmu0.5%C2%B5F%7C2049%2Cmu0.56%C2%B5F%7C2049%2Cmu0.68%C2%B5F%7C2049%2Cmu0.75%C2%B5F%7C2049%2Cmu1%C2%B5F%7C2049%2Cffe0003c%2C1f140000&amp;quantity=0&amp;ColumnSort=1000011&amp;page=1&amp;pageSize=25"/>
    <hyperlink ref="M645" r:id="rId317"/>
    <hyperlink ref="M644" r:id="rId318"/>
    <hyperlink ref="V946" r:id="rId319" location="targetText=Pi%20Filter,is%20directly%20given%20across%20capacitor." display="https://electronicscoach.com/pi-filter.html - targetText=Pi%20Filter,is%20directly%20given%20across%20capacitor."/>
    <hyperlink ref="V947" r:id="rId320"/>
    <hyperlink ref="W984" r:id="rId321"/>
    <hyperlink ref="M558" r:id="rId322"/>
    <hyperlink ref="M615" r:id="rId323"/>
    <hyperlink ref="M616" r:id="rId324"/>
    <hyperlink ref="V1018" r:id="rId325" display="http://www.ti.com/lit/df/tidrzh7/tidrzh7.pdf"/>
    <hyperlink ref="V1019" r:id="rId326" display="http://www.ti.com/lit/df/tidrzh6/tidrzh6.pdf"/>
    <hyperlink ref="V1017" r:id="rId327" display="http://www.ti.com/tool/TIDA-010060?jktype=design"/>
    <hyperlink ref="M598" r:id="rId328"/>
    <hyperlink ref="M604" r:id="rId329"/>
    <hyperlink ref="M603" r:id="rId330"/>
    <hyperlink ref="M606" r:id="rId331"/>
    <hyperlink ref="M607" r:id="rId332"/>
    <hyperlink ref="M668" r:id="rId333"/>
    <hyperlink ref="F343" r:id="rId334"/>
    <hyperlink ref="O322" r:id="rId335"/>
    <hyperlink ref="P98" r:id="rId336"/>
    <hyperlink ref="R228" r:id="rId337"/>
    <hyperlink ref="R230" r:id="rId338"/>
    <hyperlink ref="R227" r:id="rId339" location="targetText=Since%20voltage%20V%20is%20related,charging%20period%20is%20given%20as%3A&amp;targetText=RC%20is%20the%20time%20constant%20of%20the%20RC%20charging%20circuit" display="https://www.electronics-tutorials.ws/rc/rc_1.html - targetText=Since%20voltage%20V%20is%20related,charging%20period%20is%20given%20as%3A&amp;targetText=RC%20is%20the%20time%20constant%20of%20the%20RC%20charging%20circuit"/>
    <hyperlink ref="I269" r:id="rId340"/>
    <hyperlink ref="M1455" r:id="rId341"/>
    <hyperlink ref="M1456" r:id="rId342"/>
    <hyperlink ref="P494" r:id="rId343"/>
    <hyperlink ref="V494" r:id="rId344"/>
    <hyperlink ref="P512" r:id="rId345"/>
    <hyperlink ref="P513" r:id="rId346"/>
    <hyperlink ref="P496" r:id="rId347"/>
    <hyperlink ref="P497" r:id="rId348" location="search?vinmin=100&amp;vinmax=265&amp;iout=0.09999999999999998&amp;vout=5&amp;intype=AC" display="http://www.ti.com/reference-designs/index.html - search?vinmin=100&amp;vinmax=265&amp;iout=0.09999999999999998&amp;vout=5&amp;intype=AC"/>
    <hyperlink ref="L503" r:id="rId349"/>
    <hyperlink ref="O503" r:id="rId350"/>
    <hyperlink ref="P501" r:id="rId351"/>
    <hyperlink ref="R503" r:id="rId352"/>
    <hyperlink ref="P508" r:id="rId353" location="750316908" display="https://www.we-online.com/catalog/en/MID-OLTI/?sq=750316908&amp;sp=https%3A%2F%2Fwww.we-online.com%2Fweb%2Fen%2Fpassive_components_custom_magnetics%2Fsearchpage_PBCM.php%3Fsearch%3D750316908 - 750316908"/>
    <hyperlink ref="P509" r:id="rId354" location="750316908" display="https://www.we-online.com/catalog/en/MID-OLTI/?sq=750316908&amp;sp=https%3A%2F%2Fwww.we-online.com%2Fweb%2Fen%2Fpassive_components_custom_magnetics%2Fsearchpage_PBCM.php%3Fsearch%3D750316908 - 750316908"/>
    <hyperlink ref="P507" r:id="rId355"/>
    <hyperlink ref="M509" r:id="rId356"/>
    <hyperlink ref="K335" r:id="rId357" location="search?vinmin=100&amp;vinmax=265&amp;iout=0.09999999999999998&amp;vout=5&amp;isolated=Isolated&amp;intype=AC" display="http://www.ti.com/reference-designs/index.html - search?vinmin=100&amp;vinmax=265&amp;iout=0.09999999999999998&amp;vout=5&amp;isolated=Isolated&amp;intype=AC"/>
    <hyperlink ref="M417" r:id="rId358" location="search?vinmin=100&amp;vinmax=265&amp;iout=0.09999999999999998&amp;vout=5&amp;isolated=Isolated&amp;intype=AC" display="http://www.ti.com/reference-designs/index.html - search?vinmin=100&amp;vinmax=265&amp;iout=0.09999999999999998&amp;vout=5&amp;isolated=Isolated&amp;intype=AC"/>
    <hyperlink ref="P518" r:id="rId359"/>
    <hyperlink ref="P516" r:id="rId360"/>
    <hyperlink ref="P517" r:id="rId361"/>
    <hyperlink ref="R1247" r:id="rId362" location="search?vinmin=-72,35.37&amp;vinmax=91.32,405.13&amp;intype=AC,DC&amp;outpow=0,0.73" display="http://www.ti.com/reference-designs/index.html - search?vinmin=-72,35.37&amp;vinmax=91.32,405.13&amp;intype=AC,DC&amp;outpow=0,0.73"/>
    <hyperlink ref="J1174" r:id="rId363"/>
  </hyperlinks>
  <pageMargins left="0.7" right="0.7" top="0.75" bottom="0.75" header="0.3" footer="0.3"/>
  <pageSetup orientation="portrait" r:id="rId364"/>
  <drawing r:id="rId36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328"/>
  <sheetViews>
    <sheetView topLeftCell="A139" workbookViewId="0">
      <selection activeCell="F164" sqref="F164"/>
    </sheetView>
  </sheetViews>
  <sheetFormatPr defaultRowHeight="14.5" x14ac:dyDescent="0.35"/>
  <cols>
    <col min="1" max="1" width="8.7265625" style="87"/>
  </cols>
  <sheetData>
    <row r="1" spans="1:12" s="5" customFormat="1" x14ac:dyDescent="0.35">
      <c r="A1" s="86" t="s">
        <v>155</v>
      </c>
    </row>
    <row r="3" spans="1:12" x14ac:dyDescent="0.35">
      <c r="B3" t="s">
        <v>163</v>
      </c>
      <c r="L3" t="s">
        <v>162</v>
      </c>
    </row>
    <row r="4" spans="1:12" x14ac:dyDescent="0.35">
      <c r="B4" t="s">
        <v>158</v>
      </c>
      <c r="L4" t="s">
        <v>152</v>
      </c>
    </row>
    <row r="5" spans="1:12" x14ac:dyDescent="0.35">
      <c r="B5" t="s">
        <v>157</v>
      </c>
      <c r="L5" t="s">
        <v>159</v>
      </c>
    </row>
    <row r="6" spans="1:12" x14ac:dyDescent="0.35">
      <c r="B6" t="s">
        <v>161</v>
      </c>
      <c r="L6" t="s">
        <v>160</v>
      </c>
    </row>
    <row r="7" spans="1:12" x14ac:dyDescent="0.35">
      <c r="B7" t="s">
        <v>165</v>
      </c>
      <c r="L7" t="s">
        <v>164</v>
      </c>
    </row>
    <row r="8" spans="1:12" x14ac:dyDescent="0.35">
      <c r="B8" t="s">
        <v>194</v>
      </c>
      <c r="L8" t="s">
        <v>193</v>
      </c>
    </row>
    <row r="10" spans="1:12" s="5" customFormat="1" x14ac:dyDescent="0.35">
      <c r="A10" s="86" t="s">
        <v>154</v>
      </c>
    </row>
    <row r="12" spans="1:12" x14ac:dyDescent="0.35">
      <c r="B12" t="s">
        <v>156</v>
      </c>
      <c r="L12" t="s">
        <v>153</v>
      </c>
    </row>
    <row r="14" spans="1:12" s="5" customFormat="1" x14ac:dyDescent="0.35">
      <c r="A14" s="86" t="s">
        <v>167</v>
      </c>
    </row>
    <row r="16" spans="1:12" x14ac:dyDescent="0.35">
      <c r="B16" t="s">
        <v>168</v>
      </c>
      <c r="L16" t="s">
        <v>166</v>
      </c>
    </row>
    <row r="18" spans="1:12" s="5" customFormat="1" x14ac:dyDescent="0.35">
      <c r="A18" s="86" t="s">
        <v>177</v>
      </c>
    </row>
    <row r="20" spans="1:12" x14ac:dyDescent="0.35">
      <c r="B20" t="s">
        <v>178</v>
      </c>
      <c r="L20" t="s">
        <v>176</v>
      </c>
    </row>
    <row r="21" spans="1:12" x14ac:dyDescent="0.35">
      <c r="B21" t="s">
        <v>190</v>
      </c>
      <c r="L21" t="s">
        <v>189</v>
      </c>
    </row>
    <row r="22" spans="1:12" x14ac:dyDescent="0.35">
      <c r="B22" t="s">
        <v>180</v>
      </c>
      <c r="L22" t="s">
        <v>179</v>
      </c>
    </row>
    <row r="23" spans="1:12" x14ac:dyDescent="0.35">
      <c r="B23" t="s">
        <v>182</v>
      </c>
      <c r="L23" t="s">
        <v>181</v>
      </c>
    </row>
    <row r="24" spans="1:12" x14ac:dyDescent="0.35">
      <c r="B24" t="s">
        <v>184</v>
      </c>
      <c r="L24" t="s">
        <v>183</v>
      </c>
    </row>
    <row r="25" spans="1:12" x14ac:dyDescent="0.35">
      <c r="B25" t="s">
        <v>186</v>
      </c>
      <c r="L25" t="s">
        <v>185</v>
      </c>
    </row>
    <row r="26" spans="1:12" x14ac:dyDescent="0.35">
      <c r="B26" t="s">
        <v>188</v>
      </c>
      <c r="L26" t="s">
        <v>187</v>
      </c>
    </row>
    <row r="27" spans="1:12" x14ac:dyDescent="0.35">
      <c r="B27" t="s">
        <v>205</v>
      </c>
    </row>
    <row r="29" spans="1:12" s="5" customFormat="1" x14ac:dyDescent="0.35">
      <c r="A29" s="86" t="s">
        <v>208</v>
      </c>
    </row>
    <row r="31" spans="1:12" x14ac:dyDescent="0.35">
      <c r="B31" t="s">
        <v>207</v>
      </c>
      <c r="L31" t="s">
        <v>206</v>
      </c>
    </row>
    <row r="32" spans="1:12" x14ac:dyDescent="0.35">
      <c r="B32" t="s">
        <v>192</v>
      </c>
      <c r="L32" s="1" t="s">
        <v>191</v>
      </c>
    </row>
    <row r="33" spans="1:12" x14ac:dyDescent="0.35">
      <c r="B33" t="s">
        <v>1922</v>
      </c>
      <c r="L33" s="1" t="s">
        <v>1923</v>
      </c>
    </row>
    <row r="34" spans="1:12" x14ac:dyDescent="0.35">
      <c r="B34" t="s">
        <v>1924</v>
      </c>
      <c r="L34" s="1" t="s">
        <v>1925</v>
      </c>
    </row>
    <row r="35" spans="1:12" x14ac:dyDescent="0.35">
      <c r="C35" t="s">
        <v>1927</v>
      </c>
      <c r="L35" s="1" t="s">
        <v>1926</v>
      </c>
    </row>
    <row r="36" spans="1:12" x14ac:dyDescent="0.35">
      <c r="B36" t="s">
        <v>1928</v>
      </c>
      <c r="L36" s="1" t="s">
        <v>1929</v>
      </c>
    </row>
    <row r="37" spans="1:12" x14ac:dyDescent="0.35">
      <c r="B37" t="s">
        <v>1931</v>
      </c>
      <c r="L37" s="1" t="s">
        <v>1930</v>
      </c>
    </row>
    <row r="38" spans="1:12" x14ac:dyDescent="0.35">
      <c r="B38" t="s">
        <v>1933</v>
      </c>
      <c r="L38" s="1" t="s">
        <v>1932</v>
      </c>
    </row>
    <row r="39" spans="1:12" x14ac:dyDescent="0.35">
      <c r="B39" t="s">
        <v>1934</v>
      </c>
      <c r="L39" s="1" t="s">
        <v>1935</v>
      </c>
    </row>
    <row r="40" spans="1:12" x14ac:dyDescent="0.35">
      <c r="B40" t="s">
        <v>1937</v>
      </c>
      <c r="L40" s="1" t="s">
        <v>1936</v>
      </c>
    </row>
    <row r="41" spans="1:12" x14ac:dyDescent="0.35">
      <c r="B41" t="s">
        <v>1939</v>
      </c>
      <c r="L41" s="1" t="s">
        <v>1938</v>
      </c>
    </row>
    <row r="42" spans="1:12" x14ac:dyDescent="0.35">
      <c r="B42" t="s">
        <v>1940</v>
      </c>
      <c r="L42" s="1" t="s">
        <v>1941</v>
      </c>
    </row>
    <row r="43" spans="1:12" x14ac:dyDescent="0.35">
      <c r="B43" t="s">
        <v>1943</v>
      </c>
      <c r="L43" s="1" t="s">
        <v>1942</v>
      </c>
    </row>
    <row r="44" spans="1:12" x14ac:dyDescent="0.35">
      <c r="A44" s="183" t="s">
        <v>1945</v>
      </c>
      <c r="B44" t="s">
        <v>1946</v>
      </c>
      <c r="L44" t="s">
        <v>1944</v>
      </c>
    </row>
    <row r="45" spans="1:12" x14ac:dyDescent="0.35">
      <c r="L45" s="1"/>
    </row>
    <row r="47" spans="1:12" s="5" customFormat="1" x14ac:dyDescent="0.35">
      <c r="A47" s="86" t="s">
        <v>771</v>
      </c>
    </row>
    <row r="49" spans="2:12" x14ac:dyDescent="0.35">
      <c r="B49" t="s">
        <v>785</v>
      </c>
    </row>
    <row r="50" spans="2:12" x14ac:dyDescent="0.35">
      <c r="D50" t="s">
        <v>786</v>
      </c>
      <c r="L50" t="s">
        <v>784</v>
      </c>
    </row>
    <row r="51" spans="2:12" x14ac:dyDescent="0.35">
      <c r="D51" t="s">
        <v>752</v>
      </c>
      <c r="L51" t="s">
        <v>751</v>
      </c>
    </row>
    <row r="52" spans="2:12" x14ac:dyDescent="0.35">
      <c r="D52" t="s">
        <v>788</v>
      </c>
      <c r="L52" t="s">
        <v>787</v>
      </c>
    </row>
    <row r="53" spans="2:12" x14ac:dyDescent="0.35">
      <c r="D53" t="s">
        <v>792</v>
      </c>
      <c r="L53" t="s">
        <v>791</v>
      </c>
    </row>
    <row r="54" spans="2:12" x14ac:dyDescent="0.35">
      <c r="D54" t="s">
        <v>794</v>
      </c>
      <c r="L54" t="s">
        <v>793</v>
      </c>
    </row>
    <row r="56" spans="2:12" x14ac:dyDescent="0.35">
      <c r="B56" t="s">
        <v>768</v>
      </c>
      <c r="D56" t="s">
        <v>210</v>
      </c>
      <c r="L56" s="1" t="s">
        <v>209</v>
      </c>
    </row>
    <row r="57" spans="2:12" x14ac:dyDescent="0.35">
      <c r="E57" t="s">
        <v>216</v>
      </c>
      <c r="L57" s="1" t="s">
        <v>215</v>
      </c>
    </row>
    <row r="58" spans="2:12" x14ac:dyDescent="0.35">
      <c r="L58" s="1"/>
    </row>
    <row r="59" spans="2:12" x14ac:dyDescent="0.35">
      <c r="B59" t="s">
        <v>769</v>
      </c>
      <c r="D59" t="s">
        <v>213</v>
      </c>
      <c r="L59" t="s">
        <v>211</v>
      </c>
    </row>
    <row r="60" spans="2:12" x14ac:dyDescent="0.35">
      <c r="E60" t="s">
        <v>790</v>
      </c>
      <c r="L60" t="s">
        <v>212</v>
      </c>
    </row>
    <row r="62" spans="2:12" x14ac:dyDescent="0.35">
      <c r="B62" t="s">
        <v>770</v>
      </c>
      <c r="D62" t="s">
        <v>789</v>
      </c>
      <c r="L62" s="1" t="s">
        <v>214</v>
      </c>
    </row>
    <row r="64" spans="2:12" x14ac:dyDescent="0.35">
      <c r="B64" t="s">
        <v>760</v>
      </c>
      <c r="D64" t="s">
        <v>552</v>
      </c>
      <c r="L64" s="1" t="s">
        <v>551</v>
      </c>
    </row>
    <row r="65" spans="2:12" x14ac:dyDescent="0.35">
      <c r="E65" t="s">
        <v>554</v>
      </c>
      <c r="G65" t="s">
        <v>555</v>
      </c>
      <c r="L65" t="s">
        <v>553</v>
      </c>
    </row>
    <row r="67" spans="2:12" x14ac:dyDescent="0.35">
      <c r="B67" t="s">
        <v>758</v>
      </c>
      <c r="D67" t="s">
        <v>748</v>
      </c>
      <c r="L67" s="1" t="s">
        <v>746</v>
      </c>
    </row>
    <row r="68" spans="2:12" x14ac:dyDescent="0.35">
      <c r="D68" t="s">
        <v>747</v>
      </c>
    </row>
    <row r="69" spans="2:12" x14ac:dyDescent="0.35">
      <c r="D69" t="s">
        <v>767</v>
      </c>
      <c r="L69" t="s">
        <v>766</v>
      </c>
    </row>
    <row r="70" spans="2:12" x14ac:dyDescent="0.35">
      <c r="D70" t="s">
        <v>750</v>
      </c>
      <c r="L70" t="s">
        <v>749</v>
      </c>
    </row>
    <row r="71" spans="2:12" x14ac:dyDescent="0.35">
      <c r="D71" t="s">
        <v>765</v>
      </c>
      <c r="L71" t="s">
        <v>757</v>
      </c>
    </row>
    <row r="72" spans="2:12" x14ac:dyDescent="0.35">
      <c r="D72" t="s">
        <v>762</v>
      </c>
      <c r="L72" t="s">
        <v>761</v>
      </c>
    </row>
    <row r="73" spans="2:12" x14ac:dyDescent="0.35">
      <c r="D73" t="s">
        <v>764</v>
      </c>
      <c r="L73" t="s">
        <v>763</v>
      </c>
    </row>
    <row r="75" spans="2:12" x14ac:dyDescent="0.35">
      <c r="B75" t="s">
        <v>759</v>
      </c>
      <c r="D75" t="s">
        <v>754</v>
      </c>
      <c r="L75" t="s">
        <v>753</v>
      </c>
    </row>
    <row r="76" spans="2:12" x14ac:dyDescent="0.35">
      <c r="E76" t="s">
        <v>756</v>
      </c>
      <c r="L76" t="s">
        <v>755</v>
      </c>
    </row>
    <row r="78" spans="2:12" x14ac:dyDescent="0.35">
      <c r="B78" t="s">
        <v>780</v>
      </c>
      <c r="D78" t="s">
        <v>781</v>
      </c>
      <c r="L78" t="s">
        <v>779</v>
      </c>
    </row>
    <row r="79" spans="2:12" x14ac:dyDescent="0.35">
      <c r="E79" t="s">
        <v>783</v>
      </c>
      <c r="L79" s="1" t="s">
        <v>782</v>
      </c>
    </row>
    <row r="81" spans="1:12" x14ac:dyDescent="0.35">
      <c r="B81" t="s">
        <v>773</v>
      </c>
      <c r="D81" t="s">
        <v>774</v>
      </c>
      <c r="L81" t="s">
        <v>772</v>
      </c>
    </row>
    <row r="82" spans="1:12" x14ac:dyDescent="0.35">
      <c r="D82" t="s">
        <v>776</v>
      </c>
      <c r="L82" t="s">
        <v>775</v>
      </c>
    </row>
    <row r="83" spans="1:12" x14ac:dyDescent="0.35">
      <c r="D83" t="s">
        <v>778</v>
      </c>
      <c r="L83" t="s">
        <v>777</v>
      </c>
    </row>
    <row r="85" spans="1:12" s="5" customFormat="1" x14ac:dyDescent="0.35">
      <c r="A85" s="86" t="s">
        <v>195</v>
      </c>
    </row>
    <row r="87" spans="1:12" x14ac:dyDescent="0.35">
      <c r="B87" t="s">
        <v>35</v>
      </c>
      <c r="C87" t="s">
        <v>5</v>
      </c>
      <c r="D87">
        <v>15</v>
      </c>
      <c r="E87">
        <v>15</v>
      </c>
    </row>
    <row r="88" spans="1:12" x14ac:dyDescent="0.35">
      <c r="B88" t="s">
        <v>196</v>
      </c>
      <c r="C88" t="s">
        <v>197</v>
      </c>
      <c r="D88">
        <v>8</v>
      </c>
      <c r="E88">
        <v>4</v>
      </c>
    </row>
    <row r="89" spans="1:12" x14ac:dyDescent="0.35">
      <c r="B89" t="s">
        <v>198</v>
      </c>
      <c r="C89" t="s">
        <v>199</v>
      </c>
      <c r="D89">
        <f>D88*D87</f>
        <v>120</v>
      </c>
      <c r="E89">
        <f>E88*E87</f>
        <v>60</v>
      </c>
    </row>
    <row r="90" spans="1:12" x14ac:dyDescent="0.35">
      <c r="B90" t="s">
        <v>200</v>
      </c>
      <c r="C90" t="s">
        <v>201</v>
      </c>
      <c r="D90">
        <f>D89*D87</f>
        <v>1800</v>
      </c>
      <c r="E90">
        <f>E89*E87</f>
        <v>900</v>
      </c>
    </row>
    <row r="92" spans="1:12" s="5" customFormat="1" x14ac:dyDescent="0.35">
      <c r="A92" s="86" t="s">
        <v>203</v>
      </c>
    </row>
    <row r="94" spans="1:12" x14ac:dyDescent="0.35">
      <c r="B94" t="s">
        <v>204</v>
      </c>
      <c r="L94" t="s">
        <v>202</v>
      </c>
    </row>
    <row r="96" spans="1:12" s="5" customFormat="1" x14ac:dyDescent="0.35">
      <c r="A96" s="86" t="s">
        <v>218</v>
      </c>
    </row>
    <row r="98" spans="1:12" x14ac:dyDescent="0.35">
      <c r="B98" t="s">
        <v>219</v>
      </c>
      <c r="L98" t="s">
        <v>217</v>
      </c>
    </row>
    <row r="100" spans="1:12" s="5" customFormat="1" x14ac:dyDescent="0.35">
      <c r="A100" s="86" t="s">
        <v>253</v>
      </c>
    </row>
    <row r="102" spans="1:12" x14ac:dyDescent="0.35">
      <c r="B102" t="s">
        <v>254</v>
      </c>
    </row>
    <row r="104" spans="1:12" s="5" customFormat="1" x14ac:dyDescent="0.35">
      <c r="A104" s="86" t="s">
        <v>255</v>
      </c>
    </row>
    <row r="106" spans="1:12" x14ac:dyDescent="0.35">
      <c r="B106" t="s">
        <v>145</v>
      </c>
    </row>
    <row r="107" spans="1:12" x14ac:dyDescent="0.35">
      <c r="C107" t="s">
        <v>263</v>
      </c>
      <c r="J107" t="s">
        <v>262</v>
      </c>
    </row>
    <row r="108" spans="1:12" x14ac:dyDescent="0.35">
      <c r="C108" t="s">
        <v>255</v>
      </c>
      <c r="J108" t="s">
        <v>256</v>
      </c>
    </row>
    <row r="109" spans="1:12" x14ac:dyDescent="0.35">
      <c r="C109" t="s">
        <v>258</v>
      </c>
      <c r="J109" s="1" t="s">
        <v>257</v>
      </c>
    </row>
    <row r="110" spans="1:12" x14ac:dyDescent="0.35">
      <c r="C110" t="s">
        <v>259</v>
      </c>
    </row>
    <row r="111" spans="1:12" x14ac:dyDescent="0.35">
      <c r="C111" t="s">
        <v>261</v>
      </c>
      <c r="J111" t="s">
        <v>260</v>
      </c>
    </row>
    <row r="112" spans="1:12" x14ac:dyDescent="0.35">
      <c r="C112" t="s">
        <v>528</v>
      </c>
      <c r="J112" t="s">
        <v>527</v>
      </c>
    </row>
    <row r="113" spans="1:10" x14ac:dyDescent="0.35">
      <c r="C113" t="s">
        <v>530</v>
      </c>
      <c r="J113" s="1" t="s">
        <v>529</v>
      </c>
    </row>
    <row r="114" spans="1:10" x14ac:dyDescent="0.35">
      <c r="C114" t="s">
        <v>532</v>
      </c>
      <c r="J114" s="1" t="s">
        <v>531</v>
      </c>
    </row>
    <row r="115" spans="1:10" x14ac:dyDescent="0.35">
      <c r="C115" t="s">
        <v>534</v>
      </c>
      <c r="J115" s="1" t="s">
        <v>533</v>
      </c>
    </row>
    <row r="116" spans="1:10" x14ac:dyDescent="0.35">
      <c r="C116" t="s">
        <v>536</v>
      </c>
      <c r="J116" t="s">
        <v>535</v>
      </c>
    </row>
    <row r="118" spans="1:10" x14ac:dyDescent="0.35">
      <c r="B118" t="s">
        <v>561</v>
      </c>
    </row>
    <row r="119" spans="1:10" x14ac:dyDescent="0.35">
      <c r="C119" t="s">
        <v>560</v>
      </c>
      <c r="J119" t="s">
        <v>559</v>
      </c>
    </row>
    <row r="120" spans="1:10" x14ac:dyDescent="0.35">
      <c r="C120" t="s">
        <v>537</v>
      </c>
    </row>
    <row r="121" spans="1:10" s="77" customFormat="1" ht="11.5" customHeight="1" x14ac:dyDescent="0.45">
      <c r="A121" s="92"/>
      <c r="C121" s="78"/>
    </row>
    <row r="122" spans="1:10" x14ac:dyDescent="0.35">
      <c r="B122" t="s">
        <v>314</v>
      </c>
    </row>
    <row r="123" spans="1:10" x14ac:dyDescent="0.35">
      <c r="C123" t="s">
        <v>308</v>
      </c>
      <c r="J123" t="s">
        <v>307</v>
      </c>
    </row>
    <row r="124" spans="1:10" x14ac:dyDescent="0.35">
      <c r="C124" t="s">
        <v>309</v>
      </c>
      <c r="J124" s="1" t="s">
        <v>310</v>
      </c>
    </row>
    <row r="125" spans="1:10" x14ac:dyDescent="0.35">
      <c r="C125" t="s">
        <v>312</v>
      </c>
      <c r="J125" s="1" t="s">
        <v>311</v>
      </c>
    </row>
    <row r="127" spans="1:10" x14ac:dyDescent="0.35">
      <c r="B127" t="s">
        <v>297</v>
      </c>
    </row>
    <row r="128" spans="1:10" x14ac:dyDescent="0.35">
      <c r="C128" t="s">
        <v>301</v>
      </c>
      <c r="J128" t="s">
        <v>300</v>
      </c>
    </row>
    <row r="129" spans="2:18" x14ac:dyDescent="0.35">
      <c r="C129" t="s">
        <v>299</v>
      </c>
      <c r="J129" t="s">
        <v>298</v>
      </c>
    </row>
    <row r="130" spans="2:18" x14ac:dyDescent="0.35">
      <c r="C130" t="s">
        <v>303</v>
      </c>
      <c r="J130" t="s">
        <v>302</v>
      </c>
      <c r="R130" t="s">
        <v>0</v>
      </c>
    </row>
    <row r="131" spans="2:18" x14ac:dyDescent="0.35">
      <c r="C131" t="s">
        <v>304</v>
      </c>
    </row>
    <row r="132" spans="2:18" x14ac:dyDescent="0.35">
      <c r="C132" t="s">
        <v>306</v>
      </c>
      <c r="J132" t="s">
        <v>305</v>
      </c>
    </row>
    <row r="134" spans="2:18" x14ac:dyDescent="0.35">
      <c r="B134" t="s">
        <v>317</v>
      </c>
    </row>
    <row r="135" spans="2:18" x14ac:dyDescent="0.35">
      <c r="J135" t="s">
        <v>313</v>
      </c>
    </row>
    <row r="136" spans="2:18" x14ac:dyDescent="0.35">
      <c r="C136" t="s">
        <v>316</v>
      </c>
      <c r="J136" t="s">
        <v>315</v>
      </c>
    </row>
    <row r="138" spans="2:18" x14ac:dyDescent="0.35">
      <c r="B138" t="s">
        <v>319</v>
      </c>
      <c r="J138" t="s">
        <v>318</v>
      </c>
    </row>
    <row r="139" spans="2:18" x14ac:dyDescent="0.35">
      <c r="C139" t="s">
        <v>322</v>
      </c>
      <c r="J139" t="s">
        <v>320</v>
      </c>
    </row>
    <row r="140" spans="2:18" x14ac:dyDescent="0.35">
      <c r="C140" t="s">
        <v>321</v>
      </c>
    </row>
    <row r="142" spans="2:18" x14ac:dyDescent="0.35">
      <c r="B142" t="s">
        <v>324</v>
      </c>
    </row>
    <row r="143" spans="2:18" x14ac:dyDescent="0.35">
      <c r="C143" t="s">
        <v>325</v>
      </c>
      <c r="J143" s="1" t="s">
        <v>323</v>
      </c>
    </row>
    <row r="144" spans="2:18" x14ac:dyDescent="0.35">
      <c r="C144" t="s">
        <v>327</v>
      </c>
      <c r="J144" t="s">
        <v>326</v>
      </c>
    </row>
    <row r="146" spans="1:10" x14ac:dyDescent="0.35">
      <c r="B146" t="s">
        <v>896</v>
      </c>
    </row>
    <row r="147" spans="1:10" x14ac:dyDescent="0.35">
      <c r="C147" t="s">
        <v>897</v>
      </c>
      <c r="J147" s="1" t="s">
        <v>894</v>
      </c>
    </row>
    <row r="149" spans="1:10" s="5" customFormat="1" x14ac:dyDescent="0.35">
      <c r="A149" s="86" t="s">
        <v>715</v>
      </c>
    </row>
    <row r="151" spans="1:10" x14ac:dyDescent="0.35">
      <c r="B151" t="s">
        <v>714</v>
      </c>
      <c r="J151" s="6" t="s">
        <v>713</v>
      </c>
    </row>
    <row r="152" spans="1:10" x14ac:dyDescent="0.35">
      <c r="C152" t="s">
        <v>717</v>
      </c>
      <c r="I152" t="s">
        <v>0</v>
      </c>
      <c r="J152" t="s">
        <v>716</v>
      </c>
    </row>
    <row r="153" spans="1:10" x14ac:dyDescent="0.35">
      <c r="C153" t="s">
        <v>743</v>
      </c>
      <c r="I153" t="s">
        <v>0</v>
      </c>
      <c r="J153" t="s">
        <v>718</v>
      </c>
    </row>
    <row r="154" spans="1:10" x14ac:dyDescent="0.35">
      <c r="C154" t="s">
        <v>720</v>
      </c>
      <c r="I154" t="s">
        <v>0</v>
      </c>
      <c r="J154" t="s">
        <v>719</v>
      </c>
    </row>
    <row r="155" spans="1:10" x14ac:dyDescent="0.35">
      <c r="C155" t="s">
        <v>721</v>
      </c>
      <c r="I155" t="s">
        <v>0</v>
      </c>
      <c r="J155" t="s">
        <v>722</v>
      </c>
    </row>
    <row r="156" spans="1:10" x14ac:dyDescent="0.35">
      <c r="C156" t="s">
        <v>724</v>
      </c>
      <c r="I156" t="s">
        <v>0</v>
      </c>
      <c r="J156" t="s">
        <v>723</v>
      </c>
    </row>
    <row r="157" spans="1:10" x14ac:dyDescent="0.35">
      <c r="C157" t="s">
        <v>726</v>
      </c>
      <c r="I157" t="s">
        <v>0</v>
      </c>
      <c r="J157" t="s">
        <v>725</v>
      </c>
    </row>
    <row r="158" spans="1:10" x14ac:dyDescent="0.35">
      <c r="C158" t="s">
        <v>739</v>
      </c>
      <c r="I158" t="s">
        <v>0</v>
      </c>
      <c r="J158" t="s">
        <v>738</v>
      </c>
    </row>
    <row r="160" spans="1:10" x14ac:dyDescent="0.35">
      <c r="B160" t="s">
        <v>741</v>
      </c>
    </row>
    <row r="161" spans="2:10" x14ac:dyDescent="0.35">
      <c r="C161" t="s">
        <v>742</v>
      </c>
      <c r="I161" t="s">
        <v>0</v>
      </c>
      <c r="J161" s="6" t="s">
        <v>740</v>
      </c>
    </row>
    <row r="163" spans="2:10" x14ac:dyDescent="0.35">
      <c r="B163" t="s">
        <v>706</v>
      </c>
      <c r="C163" s="95" t="s">
        <v>682</v>
      </c>
      <c r="J163" t="s">
        <v>262</v>
      </c>
    </row>
    <row r="164" spans="2:10" x14ac:dyDescent="0.35">
      <c r="C164" t="s">
        <v>684</v>
      </c>
      <c r="J164" t="s">
        <v>683</v>
      </c>
    </row>
    <row r="165" spans="2:10" x14ac:dyDescent="0.35">
      <c r="C165" t="s">
        <v>686</v>
      </c>
      <c r="J165" s="1" t="s">
        <v>685</v>
      </c>
    </row>
    <row r="166" spans="2:10" x14ac:dyDescent="0.35">
      <c r="J166" s="1"/>
    </row>
    <row r="167" spans="2:10" x14ac:dyDescent="0.35">
      <c r="B167" t="s">
        <v>707</v>
      </c>
      <c r="D167" s="83"/>
    </row>
    <row r="168" spans="2:10" x14ac:dyDescent="0.35">
      <c r="C168" s="95" t="s">
        <v>676</v>
      </c>
      <c r="J168" s="1" t="s">
        <v>677</v>
      </c>
    </row>
    <row r="169" spans="2:10" x14ac:dyDescent="0.35">
      <c r="C169" s="95" t="s">
        <v>681</v>
      </c>
      <c r="J169" t="s">
        <v>680</v>
      </c>
    </row>
    <row r="170" spans="2:10" x14ac:dyDescent="0.35">
      <c r="C170" s="95" t="s">
        <v>688</v>
      </c>
      <c r="J170" s="1" t="s">
        <v>687</v>
      </c>
    </row>
    <row r="171" spans="2:10" x14ac:dyDescent="0.35">
      <c r="C171" s="95" t="s">
        <v>690</v>
      </c>
      <c r="J171" s="1" t="s">
        <v>689</v>
      </c>
    </row>
    <row r="172" spans="2:10" x14ac:dyDescent="0.35">
      <c r="C172" s="95" t="s">
        <v>692</v>
      </c>
      <c r="J172" s="1" t="s">
        <v>691</v>
      </c>
    </row>
    <row r="173" spans="2:10" x14ac:dyDescent="0.35">
      <c r="C173" s="95" t="s">
        <v>694</v>
      </c>
      <c r="J173" t="s">
        <v>693</v>
      </c>
    </row>
    <row r="174" spans="2:10" x14ac:dyDescent="0.35">
      <c r="C174" s="95" t="s">
        <v>745</v>
      </c>
      <c r="D174" s="95"/>
      <c r="J174" t="s">
        <v>744</v>
      </c>
    </row>
    <row r="175" spans="2:10" x14ac:dyDescent="0.35">
      <c r="D175" s="95"/>
    </row>
    <row r="176" spans="2:10" x14ac:dyDescent="0.35">
      <c r="B176" t="s">
        <v>709</v>
      </c>
      <c r="D176" s="95"/>
    </row>
    <row r="177" spans="2:10" x14ac:dyDescent="0.35">
      <c r="C177" s="95" t="s">
        <v>696</v>
      </c>
      <c r="I177" t="s">
        <v>0</v>
      </c>
      <c r="J177" s="1" t="s">
        <v>695</v>
      </c>
    </row>
    <row r="178" spans="2:10" x14ac:dyDescent="0.35">
      <c r="C178" t="s">
        <v>698</v>
      </c>
      <c r="J178" s="1" t="s">
        <v>697</v>
      </c>
    </row>
    <row r="179" spans="2:10" x14ac:dyDescent="0.35">
      <c r="D179" s="95"/>
      <c r="J179" s="1"/>
    </row>
    <row r="180" spans="2:10" x14ac:dyDescent="0.35">
      <c r="B180" t="s">
        <v>708</v>
      </c>
      <c r="D180" s="95"/>
      <c r="J180" s="1"/>
    </row>
    <row r="181" spans="2:10" x14ac:dyDescent="0.35">
      <c r="C181" s="95" t="s">
        <v>700</v>
      </c>
      <c r="I181" t="s">
        <v>0</v>
      </c>
      <c r="J181" t="s">
        <v>699</v>
      </c>
    </row>
    <row r="182" spans="2:10" x14ac:dyDescent="0.35">
      <c r="C182" s="95" t="s">
        <v>679</v>
      </c>
      <c r="J182" s="1" t="s">
        <v>678</v>
      </c>
    </row>
    <row r="183" spans="2:10" x14ac:dyDescent="0.35">
      <c r="C183" s="95" t="s">
        <v>702</v>
      </c>
      <c r="J183" t="s">
        <v>701</v>
      </c>
    </row>
    <row r="185" spans="2:10" x14ac:dyDescent="0.35">
      <c r="B185" t="s">
        <v>710</v>
      </c>
    </row>
    <row r="186" spans="2:10" x14ac:dyDescent="0.35">
      <c r="C186" s="95" t="s">
        <v>711</v>
      </c>
      <c r="J186" t="s">
        <v>703</v>
      </c>
    </row>
    <row r="187" spans="2:10" x14ac:dyDescent="0.35">
      <c r="C187" s="95" t="s">
        <v>712</v>
      </c>
      <c r="J187" t="s">
        <v>705</v>
      </c>
    </row>
    <row r="189" spans="2:10" x14ac:dyDescent="0.35">
      <c r="B189" t="s">
        <v>732</v>
      </c>
      <c r="J189" t="s">
        <v>729</v>
      </c>
    </row>
    <row r="190" spans="2:10" x14ac:dyDescent="0.35">
      <c r="C190" t="s">
        <v>731</v>
      </c>
      <c r="J190" t="s">
        <v>730</v>
      </c>
    </row>
    <row r="192" spans="2:10" x14ac:dyDescent="0.35">
      <c r="B192" t="s">
        <v>727</v>
      </c>
    </row>
    <row r="193" spans="1:18" x14ac:dyDescent="0.35">
      <c r="C193" t="s">
        <v>734</v>
      </c>
      <c r="J193" t="s">
        <v>728</v>
      </c>
    </row>
    <row r="194" spans="1:18" x14ac:dyDescent="0.35">
      <c r="C194" t="s">
        <v>735</v>
      </c>
      <c r="J194" t="s">
        <v>733</v>
      </c>
    </row>
    <row r="195" spans="1:18" x14ac:dyDescent="0.35">
      <c r="C195" t="s">
        <v>737</v>
      </c>
      <c r="J195" t="s">
        <v>736</v>
      </c>
    </row>
    <row r="197" spans="1:18" x14ac:dyDescent="0.35">
      <c r="B197" t="s">
        <v>795</v>
      </c>
    </row>
    <row r="198" spans="1:18" x14ac:dyDescent="0.35">
      <c r="C198" t="s">
        <v>796</v>
      </c>
      <c r="J198" s="1" t="s">
        <v>797</v>
      </c>
    </row>
    <row r="199" spans="1:18" x14ac:dyDescent="0.35">
      <c r="J199" s="1"/>
    </row>
    <row r="200" spans="1:18" x14ac:dyDescent="0.35">
      <c r="B200" t="s">
        <v>811</v>
      </c>
    </row>
    <row r="201" spans="1:18" x14ac:dyDescent="0.35">
      <c r="C201" t="s">
        <v>812</v>
      </c>
      <c r="J201" s="1" t="s">
        <v>826</v>
      </c>
      <c r="R201" t="s">
        <v>830</v>
      </c>
    </row>
    <row r="203" spans="1:18" s="5" customFormat="1" x14ac:dyDescent="0.35">
      <c r="A203" s="86" t="s">
        <v>837</v>
      </c>
    </row>
    <row r="204" spans="1:18" x14ac:dyDescent="0.35">
      <c r="J204" s="1"/>
    </row>
    <row r="205" spans="1:18" x14ac:dyDescent="0.35">
      <c r="B205" t="s">
        <v>839</v>
      </c>
      <c r="J205" s="1" t="s">
        <v>838</v>
      </c>
    </row>
    <row r="206" spans="1:18" x14ac:dyDescent="0.35">
      <c r="B206" t="s">
        <v>841</v>
      </c>
      <c r="J206" t="s">
        <v>840</v>
      </c>
    </row>
    <row r="208" spans="1:18" s="5" customFormat="1" x14ac:dyDescent="0.35">
      <c r="A208" s="86" t="s">
        <v>329</v>
      </c>
    </row>
    <row r="210" spans="1:10" x14ac:dyDescent="0.35">
      <c r="B210" t="s">
        <v>330</v>
      </c>
      <c r="J210" t="s">
        <v>328</v>
      </c>
    </row>
    <row r="211" spans="1:10" x14ac:dyDescent="0.35">
      <c r="B211" t="s">
        <v>332</v>
      </c>
      <c r="J211" s="1" t="s">
        <v>331</v>
      </c>
    </row>
    <row r="212" spans="1:10" x14ac:dyDescent="0.35">
      <c r="B212" t="s">
        <v>334</v>
      </c>
      <c r="J212" t="s">
        <v>333</v>
      </c>
    </row>
    <row r="213" spans="1:10" x14ac:dyDescent="0.35">
      <c r="B213" t="s">
        <v>341</v>
      </c>
      <c r="J213" s="6" t="s">
        <v>340</v>
      </c>
    </row>
    <row r="214" spans="1:10" x14ac:dyDescent="0.35">
      <c r="J214" s="6"/>
    </row>
    <row r="215" spans="1:10" s="5" customFormat="1" x14ac:dyDescent="0.35">
      <c r="A215" s="86" t="s">
        <v>336</v>
      </c>
    </row>
    <row r="217" spans="1:10" x14ac:dyDescent="0.35">
      <c r="B217" t="s">
        <v>338</v>
      </c>
      <c r="J217" t="s">
        <v>335</v>
      </c>
    </row>
    <row r="218" spans="1:10" x14ac:dyDescent="0.35">
      <c r="B218" t="s">
        <v>339</v>
      </c>
      <c r="J218" t="s">
        <v>337</v>
      </c>
    </row>
    <row r="220" spans="1:10" s="5" customFormat="1" x14ac:dyDescent="0.35">
      <c r="A220" s="86" t="s">
        <v>345</v>
      </c>
    </row>
    <row r="221" spans="1:10" s="2" customFormat="1" x14ac:dyDescent="0.35">
      <c r="A221" s="93"/>
    </row>
    <row r="222" spans="1:10" x14ac:dyDescent="0.35">
      <c r="B222" t="s">
        <v>346</v>
      </c>
      <c r="J222" t="s">
        <v>344</v>
      </c>
    </row>
    <row r="223" spans="1:10" x14ac:dyDescent="0.35">
      <c r="B223" t="s">
        <v>348</v>
      </c>
      <c r="J223" t="s">
        <v>347</v>
      </c>
    </row>
    <row r="224" spans="1:10" x14ac:dyDescent="0.35">
      <c r="B224" t="s">
        <v>350</v>
      </c>
      <c r="J224" t="s">
        <v>349</v>
      </c>
    </row>
    <row r="225" spans="1:10" x14ac:dyDescent="0.35">
      <c r="J225" t="s">
        <v>349</v>
      </c>
    </row>
    <row r="226" spans="1:10" s="5" customFormat="1" x14ac:dyDescent="0.35">
      <c r="A226" s="86" t="s">
        <v>558</v>
      </c>
    </row>
    <row r="228" spans="1:10" x14ac:dyDescent="0.35">
      <c r="B228" t="s">
        <v>557</v>
      </c>
      <c r="J228" t="s">
        <v>556</v>
      </c>
    </row>
    <row r="230" spans="1:10" s="5" customFormat="1" x14ac:dyDescent="0.35">
      <c r="A230" s="86" t="s">
        <v>571</v>
      </c>
    </row>
    <row r="232" spans="1:10" x14ac:dyDescent="0.35">
      <c r="B232" t="s">
        <v>570</v>
      </c>
      <c r="J232" s="1" t="s">
        <v>569</v>
      </c>
    </row>
    <row r="234" spans="1:10" s="5" customFormat="1" x14ac:dyDescent="0.35">
      <c r="A234" s="86" t="s">
        <v>241</v>
      </c>
    </row>
    <row r="236" spans="1:10" x14ac:dyDescent="0.35">
      <c r="B236" t="s">
        <v>242</v>
      </c>
    </row>
    <row r="238" spans="1:10" s="5" customFormat="1" x14ac:dyDescent="0.35">
      <c r="A238" s="86" t="s">
        <v>572</v>
      </c>
    </row>
    <row r="240" spans="1:10" x14ac:dyDescent="0.35">
      <c r="B240" t="s">
        <v>573</v>
      </c>
    </row>
    <row r="242" spans="1:13" s="5" customFormat="1" x14ac:dyDescent="0.35">
      <c r="A242" s="86" t="s">
        <v>653</v>
      </c>
    </row>
    <row r="244" spans="1:13" ht="36.5" x14ac:dyDescent="0.35">
      <c r="B244" s="123" t="s">
        <v>2894</v>
      </c>
      <c r="C244" s="123" t="s">
        <v>654</v>
      </c>
      <c r="D244" s="123" t="s">
        <v>655</v>
      </c>
      <c r="E244" s="123" t="s">
        <v>656</v>
      </c>
      <c r="F244" s="123" t="s">
        <v>657</v>
      </c>
    </row>
    <row r="245" spans="1:13" x14ac:dyDescent="0.35">
      <c r="B245" s="122"/>
      <c r="C245" s="122"/>
      <c r="D245" s="122"/>
      <c r="E245" s="122"/>
      <c r="F245" s="122"/>
    </row>
    <row r="246" spans="1:13" x14ac:dyDescent="0.35">
      <c r="B246" s="20">
        <v>10000</v>
      </c>
      <c r="C246" s="13">
        <f>300 /B246</f>
        <v>0.03</v>
      </c>
      <c r="D246">
        <f>C246/4</f>
        <v>7.4999999999999997E-3</v>
      </c>
      <c r="E246">
        <f>100*C246/100</f>
        <v>0.03</v>
      </c>
      <c r="F246" s="20">
        <f>E246*393</f>
        <v>11.79</v>
      </c>
    </row>
    <row r="247" spans="1:13" x14ac:dyDescent="0.35">
      <c r="B247" s="20">
        <v>300</v>
      </c>
      <c r="C247" s="13">
        <f>300 /B247</f>
        <v>1</v>
      </c>
      <c r="D247">
        <f>C247/4</f>
        <v>0.25</v>
      </c>
      <c r="E247">
        <f>100*C247/100</f>
        <v>1</v>
      </c>
      <c r="F247" s="20">
        <f>E247*393</f>
        <v>393</v>
      </c>
    </row>
    <row r="248" spans="1:13" x14ac:dyDescent="0.35">
      <c r="B248" s="20">
        <v>100</v>
      </c>
      <c r="C248" s="13">
        <f>300 /B248</f>
        <v>3</v>
      </c>
      <c r="D248">
        <f>C248/4</f>
        <v>0.75</v>
      </c>
      <c r="E248">
        <f>100*C248/100</f>
        <v>3</v>
      </c>
      <c r="F248" s="20">
        <f>E248*393</f>
        <v>1179</v>
      </c>
    </row>
    <row r="249" spans="1:13" x14ac:dyDescent="0.35">
      <c r="B249" s="20">
        <v>50</v>
      </c>
      <c r="C249" s="13">
        <f>300 /B249</f>
        <v>6</v>
      </c>
      <c r="D249">
        <f>C249/4</f>
        <v>1.5</v>
      </c>
      <c r="E249">
        <f>100*C249/100</f>
        <v>6</v>
      </c>
      <c r="F249" s="20">
        <f>E249*393</f>
        <v>2358</v>
      </c>
    </row>
    <row r="250" spans="1:13" x14ac:dyDescent="0.35">
      <c r="B250" s="20">
        <v>10</v>
      </c>
      <c r="C250" s="13">
        <f>300 /B250</f>
        <v>30</v>
      </c>
      <c r="D250">
        <f>C250/4</f>
        <v>7.5</v>
      </c>
      <c r="E250">
        <f>100*C250/100</f>
        <v>30</v>
      </c>
      <c r="F250" s="20">
        <f>E250*393</f>
        <v>11790</v>
      </c>
    </row>
    <row r="251" spans="1:13" x14ac:dyDescent="0.35">
      <c r="B251" s="20"/>
      <c r="C251" s="13"/>
      <c r="F251" s="20"/>
    </row>
    <row r="252" spans="1:13" s="5" customFormat="1" x14ac:dyDescent="0.35">
      <c r="A252" s="86" t="s">
        <v>660</v>
      </c>
    </row>
    <row r="254" spans="1:13" x14ac:dyDescent="0.35">
      <c r="B254" t="s">
        <v>659</v>
      </c>
      <c r="M254" s="1" t="s">
        <v>658</v>
      </c>
    </row>
    <row r="257" spans="1:13" s="5" customFormat="1" x14ac:dyDescent="0.35">
      <c r="A257" s="86" t="s">
        <v>662</v>
      </c>
    </row>
    <row r="259" spans="1:13" x14ac:dyDescent="0.35">
      <c r="B259" t="s">
        <v>663</v>
      </c>
      <c r="M259" t="s">
        <v>661</v>
      </c>
    </row>
    <row r="261" spans="1:13" s="5" customFormat="1" x14ac:dyDescent="0.35">
      <c r="A261" s="86" t="s">
        <v>665</v>
      </c>
    </row>
    <row r="263" spans="1:13" x14ac:dyDescent="0.35">
      <c r="B263" t="s">
        <v>666</v>
      </c>
      <c r="M263" t="s">
        <v>664</v>
      </c>
    </row>
    <row r="264" spans="1:13" x14ac:dyDescent="0.35">
      <c r="B264" t="s">
        <v>668</v>
      </c>
      <c r="M264" t="s">
        <v>667</v>
      </c>
    </row>
    <row r="265" spans="1:13" x14ac:dyDescent="0.35">
      <c r="B265" t="s">
        <v>670</v>
      </c>
      <c r="M265" t="s">
        <v>669</v>
      </c>
    </row>
    <row r="267" spans="1:13" s="5" customFormat="1" x14ac:dyDescent="0.35">
      <c r="A267" s="86" t="s">
        <v>671</v>
      </c>
    </row>
    <row r="269" spans="1:13" x14ac:dyDescent="0.35">
      <c r="B269" t="s">
        <v>673</v>
      </c>
      <c r="M269" t="s">
        <v>672</v>
      </c>
    </row>
    <row r="270" spans="1:13" x14ac:dyDescent="0.35">
      <c r="B270" t="s">
        <v>675</v>
      </c>
      <c r="M270" t="s">
        <v>674</v>
      </c>
    </row>
    <row r="272" spans="1:13" s="5" customFormat="1" x14ac:dyDescent="0.35">
      <c r="A272" s="86" t="s">
        <v>1783</v>
      </c>
    </row>
    <row r="274" spans="1:13" x14ac:dyDescent="0.35">
      <c r="B274" t="s">
        <v>1784</v>
      </c>
      <c r="M274" s="1" t="s">
        <v>1785</v>
      </c>
    </row>
    <row r="275" spans="1:13" x14ac:dyDescent="0.35">
      <c r="M275" s="1"/>
    </row>
    <row r="276" spans="1:13" s="5" customFormat="1" x14ac:dyDescent="0.35">
      <c r="A276" s="86" t="s">
        <v>1813</v>
      </c>
    </row>
    <row r="277" spans="1:13" x14ac:dyDescent="0.35">
      <c r="M277" s="1"/>
    </row>
    <row r="278" spans="1:13" x14ac:dyDescent="0.35">
      <c r="B278" t="s">
        <v>1815</v>
      </c>
      <c r="M278" s="1" t="s">
        <v>1814</v>
      </c>
    </row>
    <row r="280" spans="1:13" s="5" customFormat="1" x14ac:dyDescent="0.35">
      <c r="A280" s="86" t="s">
        <v>1778</v>
      </c>
    </row>
    <row r="282" spans="1:13" x14ac:dyDescent="0.35">
      <c r="B282" s="162">
        <v>37077</v>
      </c>
      <c r="D282" t="s">
        <v>1781</v>
      </c>
      <c r="M282" s="1" t="s">
        <v>1779</v>
      </c>
    </row>
    <row r="283" spans="1:13" x14ac:dyDescent="0.35">
      <c r="B283" s="4">
        <v>64.5</v>
      </c>
      <c r="C283" s="4"/>
      <c r="D283" s="4" t="s">
        <v>1782</v>
      </c>
      <c r="M283" s="1" t="s">
        <v>1780</v>
      </c>
    </row>
    <row r="284" spans="1:13" x14ac:dyDescent="0.35">
      <c r="B284" s="15">
        <f>B282/B283</f>
        <v>574.83720930232562</v>
      </c>
      <c r="D284" t="s">
        <v>90</v>
      </c>
    </row>
    <row r="286" spans="1:13" s="5" customFormat="1" x14ac:dyDescent="0.35">
      <c r="A286" s="86" t="s">
        <v>1787</v>
      </c>
    </row>
    <row r="288" spans="1:13" x14ac:dyDescent="0.35">
      <c r="B288" t="s">
        <v>1788</v>
      </c>
    </row>
    <row r="289" spans="1:13" x14ac:dyDescent="0.35">
      <c r="B289" t="s">
        <v>1790</v>
      </c>
      <c r="M289" s="1" t="s">
        <v>1789</v>
      </c>
    </row>
    <row r="290" spans="1:13" x14ac:dyDescent="0.35">
      <c r="B290" t="s">
        <v>1792</v>
      </c>
      <c r="M290" s="1" t="s">
        <v>1791</v>
      </c>
    </row>
    <row r="291" spans="1:13" x14ac:dyDescent="0.35">
      <c r="C291" t="s">
        <v>1799</v>
      </c>
      <c r="M291" s="1"/>
    </row>
    <row r="292" spans="1:13" x14ac:dyDescent="0.35">
      <c r="B292" t="s">
        <v>1794</v>
      </c>
      <c r="M292" s="1" t="s">
        <v>1793</v>
      </c>
    </row>
    <row r="293" spans="1:13" x14ac:dyDescent="0.35">
      <c r="B293" t="s">
        <v>1796</v>
      </c>
      <c r="M293" s="1" t="s">
        <v>1795</v>
      </c>
    </row>
    <row r="294" spans="1:13" x14ac:dyDescent="0.35">
      <c r="B294" t="s">
        <v>1798</v>
      </c>
      <c r="M294" s="1" t="s">
        <v>1797</v>
      </c>
    </row>
    <row r="295" spans="1:13" x14ac:dyDescent="0.35">
      <c r="B295" t="s">
        <v>1806</v>
      </c>
      <c r="M295" s="1" t="s">
        <v>1805</v>
      </c>
    </row>
    <row r="296" spans="1:13" x14ac:dyDescent="0.35">
      <c r="B296" t="s">
        <v>1807</v>
      </c>
      <c r="M296" s="1" t="s">
        <v>1808</v>
      </c>
    </row>
    <row r="297" spans="1:13" x14ac:dyDescent="0.35">
      <c r="B297" t="s">
        <v>1812</v>
      </c>
      <c r="M297" s="1" t="s">
        <v>1809</v>
      </c>
    </row>
    <row r="298" spans="1:13" x14ac:dyDescent="0.35">
      <c r="B298" s="177" t="s">
        <v>1811</v>
      </c>
      <c r="M298" s="1" t="s">
        <v>1810</v>
      </c>
    </row>
    <row r="299" spans="1:13" x14ac:dyDescent="0.35">
      <c r="B299" s="177" t="s">
        <v>2893</v>
      </c>
      <c r="M299" s="1" t="s">
        <v>2892</v>
      </c>
    </row>
    <row r="300" spans="1:13" x14ac:dyDescent="0.35">
      <c r="M300" s="1"/>
    </row>
    <row r="301" spans="1:13" s="5" customFormat="1" x14ac:dyDescent="0.35">
      <c r="A301" s="86" t="s">
        <v>1301</v>
      </c>
    </row>
    <row r="303" spans="1:13" x14ac:dyDescent="0.35">
      <c r="B303" s="83" t="s">
        <v>1802</v>
      </c>
      <c r="D303" t="s">
        <v>1801</v>
      </c>
      <c r="M303" s="1" t="s">
        <v>1800</v>
      </c>
    </row>
    <row r="304" spans="1:13" x14ac:dyDescent="0.35">
      <c r="D304" t="s">
        <v>1804</v>
      </c>
      <c r="M304" s="1" t="s">
        <v>1803</v>
      </c>
    </row>
    <row r="306" spans="1:13" s="5" customFormat="1" x14ac:dyDescent="0.35">
      <c r="A306" s="86" t="s">
        <v>1964</v>
      </c>
    </row>
    <row r="308" spans="1:13" x14ac:dyDescent="0.35">
      <c r="B308" s="83" t="s">
        <v>1966</v>
      </c>
    </row>
    <row r="309" spans="1:13" x14ac:dyDescent="0.35">
      <c r="B309" s="83"/>
    </row>
    <row r="310" spans="1:13" x14ac:dyDescent="0.35">
      <c r="B310" s="83" t="s">
        <v>1965</v>
      </c>
      <c r="D310" t="s">
        <v>1976</v>
      </c>
    </row>
    <row r="311" spans="1:13" x14ac:dyDescent="0.35">
      <c r="D311" t="s">
        <v>1977</v>
      </c>
      <c r="M311" s="1" t="s">
        <v>1974</v>
      </c>
    </row>
    <row r="312" spans="1:13" x14ac:dyDescent="0.35">
      <c r="E312" t="s">
        <v>1975</v>
      </c>
      <c r="M312" s="1" t="s">
        <v>1967</v>
      </c>
    </row>
    <row r="313" spans="1:13" x14ac:dyDescent="0.35">
      <c r="D313" t="s">
        <v>1969</v>
      </c>
      <c r="M313" s="1" t="s">
        <v>1968</v>
      </c>
    </row>
    <row r="314" spans="1:13" x14ac:dyDescent="0.35">
      <c r="E314" t="s">
        <v>1971</v>
      </c>
      <c r="M314" s="1" t="s">
        <v>1970</v>
      </c>
    </row>
    <row r="315" spans="1:13" x14ac:dyDescent="0.35">
      <c r="E315" t="s">
        <v>1973</v>
      </c>
      <c r="M315" s="1" t="s">
        <v>1972</v>
      </c>
    </row>
    <row r="317" spans="1:13" s="5" customFormat="1" x14ac:dyDescent="0.35">
      <c r="A317" s="86" t="s">
        <v>2926</v>
      </c>
    </row>
    <row r="319" spans="1:13" x14ac:dyDescent="0.35">
      <c r="B319" s="83" t="s">
        <v>1377</v>
      </c>
      <c r="D319" t="s">
        <v>2934</v>
      </c>
      <c r="M319" t="s">
        <v>2927</v>
      </c>
    </row>
    <row r="320" spans="1:13" x14ac:dyDescent="0.35">
      <c r="D320" t="s">
        <v>2935</v>
      </c>
      <c r="M320" t="s">
        <v>2928</v>
      </c>
    </row>
    <row r="321" spans="2:13" x14ac:dyDescent="0.35">
      <c r="D321" t="s">
        <v>2936</v>
      </c>
      <c r="M321" t="s">
        <v>2929</v>
      </c>
    </row>
    <row r="322" spans="2:13" x14ac:dyDescent="0.35">
      <c r="D322" t="s">
        <v>2937</v>
      </c>
      <c r="M322" t="s">
        <v>2930</v>
      </c>
    </row>
    <row r="323" spans="2:13" x14ac:dyDescent="0.35">
      <c r="D323" t="s">
        <v>2938</v>
      </c>
      <c r="M323" t="s">
        <v>2931</v>
      </c>
    </row>
    <row r="324" spans="2:13" x14ac:dyDescent="0.35">
      <c r="D324" t="s">
        <v>2939</v>
      </c>
      <c r="M324" t="s">
        <v>2932</v>
      </c>
    </row>
    <row r="325" spans="2:13" x14ac:dyDescent="0.35">
      <c r="D325" t="s">
        <v>2942</v>
      </c>
      <c r="M325" t="s">
        <v>2933</v>
      </c>
    </row>
    <row r="326" spans="2:13" x14ac:dyDescent="0.35">
      <c r="D326" t="s">
        <v>2943</v>
      </c>
      <c r="M326" s="1" t="s">
        <v>2941</v>
      </c>
    </row>
    <row r="328" spans="2:13" x14ac:dyDescent="0.35">
      <c r="B328" s="83" t="s">
        <v>2944</v>
      </c>
      <c r="F328" t="s">
        <v>2940</v>
      </c>
    </row>
  </sheetData>
  <hyperlinks>
    <hyperlink ref="L56" display="https://www.amazon.com/Powerful-Vacuum-Pump-Compressor-12V/dp/B0192KPBCK/ref=pd_cp_328_4?pf_rd_m=ATVPDKIKX0DER&amp;pf_rd_p=ef4dc990-a9ca-4945-ae0b-f8d549198ed6&amp;pf_rd_r=F8DNRSS576E69JHYPHPY&amp;pd_rd_wg=nUA8k&amp;pf_rd_s=desktop-dp-sims&amp;pf_rd_t=40701&amp;pd_rd_w=mO3Nl&amp;pf_"/>
    <hyperlink ref="J109" r:id="rId1"/>
    <hyperlink ref="J125" r:id="rId2"/>
    <hyperlink ref="J124" r:id="rId3"/>
    <hyperlink ref="J143" r:id="rId4"/>
    <hyperlink ref="J211" r:id="rId5"/>
    <hyperlink ref="J213" r:id="rId6"/>
    <hyperlink ref="J115" r:id="rId7"/>
    <hyperlink ref="J114" r:id="rId8"/>
    <hyperlink ref="J113" r:id="rId9"/>
    <hyperlink ref="J232" r:id="rId10"/>
    <hyperlink ref="L32" r:id="rId11"/>
    <hyperlink ref="M254" r:id="rId12"/>
    <hyperlink ref="J168" r:id="rId13"/>
    <hyperlink ref="J182" r:id="rId14"/>
    <hyperlink ref="J165" r:id="rId15" location="Economics"/>
    <hyperlink ref="J170" r:id="rId16"/>
    <hyperlink ref="J171" r:id="rId17"/>
    <hyperlink ref="J172" r:id="rId18"/>
    <hyperlink ref="J177" r:id="rId19"/>
    <hyperlink ref="J178" r:id="rId20"/>
    <hyperlink ref="J151" r:id="rId21"/>
    <hyperlink ref="J161" r:id="rId22"/>
    <hyperlink ref="L67" r:id="rId23"/>
    <hyperlink ref="L64" r:id="rId24"/>
    <hyperlink ref="L62" r:id="rId25"/>
    <hyperlink ref="L57" r:id="rId26"/>
    <hyperlink ref="L79" r:id="rId27"/>
    <hyperlink ref="J198" r:id="rId28"/>
    <hyperlink ref="J201" r:id="rId29"/>
    <hyperlink ref="J147" r:id="rId30"/>
    <hyperlink ref="M282" r:id="rId31"/>
    <hyperlink ref="M283" r:id="rId32"/>
    <hyperlink ref="M274" display="https://www.amazon.com/dp/B07HK1W7V2/ref=sspa_dk_detail_5?psc=1&amp;pd_rd_i=B07HK1W7V2&amp;spLa=ZW5jcnlwdGVkUXVhbGlmaWVyPUExRUpJUkNRNFRLSk82JmVuY3J5cHRlZElkPUEwNTgyNzI1M05ZNENaUEM5Skc5UiZlbmNyeXB0ZWRBZElkPUEwMzMxMTQ4MkFJRlRBUFhaRzdYMCZ3aWRnZXROYW1lPXNwX2RldGFpbCZ"/>
    <hyperlink ref="M289" r:id="rId33"/>
    <hyperlink ref="M290" r:id="rId34"/>
    <hyperlink ref="M292" r:id="rId35"/>
    <hyperlink ref="M293" r:id="rId36"/>
    <hyperlink ref="M294" r:id="rId37"/>
    <hyperlink ref="M303" r:id="rId38"/>
    <hyperlink ref="M304" r:id="rId39"/>
    <hyperlink ref="M295" r:id="rId40"/>
    <hyperlink ref="M296" r:id="rId41"/>
    <hyperlink ref="M297" r:id="rId42" location="intro-section-2" display="https://nca2014.globalchange.gov/report/our-changing-climate/sea-level-rise - intro-section-2"/>
    <hyperlink ref="M298" r:id="rId43"/>
    <hyperlink ref="M278" r:id="rId44"/>
    <hyperlink ref="L33" r:id="rId45"/>
    <hyperlink ref="L34" r:id="rId46"/>
    <hyperlink ref="L35" r:id="rId47"/>
    <hyperlink ref="L36" r:id="rId48"/>
    <hyperlink ref="L37" r:id="rId49"/>
    <hyperlink ref="L38" r:id="rId50"/>
    <hyperlink ref="L39" r:id="rId51"/>
    <hyperlink ref="L40" r:id="rId52"/>
    <hyperlink ref="L41" r:id="rId53"/>
    <hyperlink ref="L42" r:id="rId54"/>
    <hyperlink ref="L43" r:id="rId55"/>
    <hyperlink ref="M312" r:id="rId56"/>
    <hyperlink ref="M313" r:id="rId57"/>
    <hyperlink ref="M314" r:id="rId58"/>
    <hyperlink ref="M315" r:id="rId59"/>
    <hyperlink ref="M311" r:id="rId60"/>
    <hyperlink ref="M299" r:id="rId61"/>
    <hyperlink ref="M326" r:id="rId62"/>
  </hyperlinks>
  <pageMargins left="0.7" right="0.7" top="0.75" bottom="0.75" header="0.3" footer="0.3"/>
  <pageSetup orientation="portrait" r:id="rId6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616"/>
  <sheetViews>
    <sheetView topLeftCell="A199" zoomScaleNormal="100" workbookViewId="0">
      <selection activeCell="N214" sqref="N214"/>
    </sheetView>
  </sheetViews>
  <sheetFormatPr defaultRowHeight="14.5" x14ac:dyDescent="0.35"/>
  <cols>
    <col min="4" max="4" width="10.1796875" bestFit="1" customWidth="1"/>
    <col min="5" max="5" width="11.1796875" bestFit="1" customWidth="1"/>
    <col min="6" max="6" width="9.1796875" bestFit="1" customWidth="1"/>
  </cols>
  <sheetData>
    <row r="1" spans="1:11" s="5" customFormat="1" x14ac:dyDescent="0.35">
      <c r="A1" s="86" t="s">
        <v>987</v>
      </c>
    </row>
    <row r="2" spans="1:11" x14ac:dyDescent="0.35">
      <c r="A2" s="87"/>
    </row>
    <row r="3" spans="1:11" x14ac:dyDescent="0.35">
      <c r="A3" s="87"/>
      <c r="B3" t="s">
        <v>914</v>
      </c>
      <c r="K3" s="1" t="s">
        <v>913</v>
      </c>
    </row>
    <row r="4" spans="1:11" x14ac:dyDescent="0.35">
      <c r="A4" s="87"/>
      <c r="B4" t="s">
        <v>916</v>
      </c>
      <c r="K4" s="1" t="s">
        <v>915</v>
      </c>
    </row>
    <row r="5" spans="1:11" x14ac:dyDescent="0.35">
      <c r="A5" s="87"/>
      <c r="C5" t="s">
        <v>977</v>
      </c>
      <c r="K5" s="1"/>
    </row>
    <row r="6" spans="1:11" x14ac:dyDescent="0.35">
      <c r="A6" s="87"/>
      <c r="B6" t="s">
        <v>918</v>
      </c>
      <c r="K6" s="1" t="s">
        <v>917</v>
      </c>
    </row>
    <row r="7" spans="1:11" x14ac:dyDescent="0.35">
      <c r="A7" s="87"/>
      <c r="B7" t="s">
        <v>919</v>
      </c>
      <c r="K7" s="1" t="s">
        <v>920</v>
      </c>
    </row>
    <row r="8" spans="1:11" x14ac:dyDescent="0.35">
      <c r="A8" s="87"/>
      <c r="B8" t="s">
        <v>922</v>
      </c>
      <c r="K8" s="1" t="s">
        <v>921</v>
      </c>
    </row>
    <row r="9" spans="1:11" x14ac:dyDescent="0.35">
      <c r="A9" s="87"/>
      <c r="B9" t="s">
        <v>925</v>
      </c>
      <c r="K9" s="1" t="s">
        <v>923</v>
      </c>
    </row>
    <row r="10" spans="1:11" x14ac:dyDescent="0.35">
      <c r="A10" s="87"/>
      <c r="B10" t="s">
        <v>926</v>
      </c>
      <c r="K10" s="1" t="s">
        <v>924</v>
      </c>
    </row>
    <row r="11" spans="1:11" x14ac:dyDescent="0.35">
      <c r="A11" s="87"/>
      <c r="B11" t="s">
        <v>928</v>
      </c>
      <c r="K11" s="1" t="s">
        <v>927</v>
      </c>
    </row>
    <row r="12" spans="1:11" x14ac:dyDescent="0.35">
      <c r="A12" s="87"/>
      <c r="C12" t="s">
        <v>929</v>
      </c>
    </row>
    <row r="13" spans="1:11" x14ac:dyDescent="0.35">
      <c r="A13" s="87"/>
      <c r="B13" t="s">
        <v>931</v>
      </c>
      <c r="J13" t="s">
        <v>0</v>
      </c>
      <c r="K13" s="1" t="s">
        <v>930</v>
      </c>
    </row>
    <row r="14" spans="1:11" x14ac:dyDescent="0.35">
      <c r="B14" t="s">
        <v>942</v>
      </c>
      <c r="K14" s="1" t="s">
        <v>941</v>
      </c>
    </row>
    <row r="15" spans="1:11" x14ac:dyDescent="0.35">
      <c r="B15" t="s">
        <v>947</v>
      </c>
      <c r="K15" s="1" t="s">
        <v>946</v>
      </c>
    </row>
    <row r="16" spans="1:11" x14ac:dyDescent="0.35">
      <c r="B16" t="s">
        <v>949</v>
      </c>
      <c r="K16" s="1" t="s">
        <v>948</v>
      </c>
    </row>
    <row r="17" spans="1:13" x14ac:dyDescent="0.35">
      <c r="B17" t="s">
        <v>951</v>
      </c>
      <c r="K17" s="1" t="s">
        <v>950</v>
      </c>
    </row>
    <row r="18" spans="1:13" x14ac:dyDescent="0.35">
      <c r="B18" t="s">
        <v>958</v>
      </c>
      <c r="K18" s="1" t="s">
        <v>957</v>
      </c>
    </row>
    <row r="19" spans="1:13" x14ac:dyDescent="0.35">
      <c r="B19" t="s">
        <v>962</v>
      </c>
      <c r="K19" s="1" t="s">
        <v>961</v>
      </c>
    </row>
    <row r="20" spans="1:13" x14ac:dyDescent="0.35">
      <c r="B20" t="s">
        <v>964</v>
      </c>
      <c r="K20" s="1" t="s">
        <v>963</v>
      </c>
    </row>
    <row r="21" spans="1:13" x14ac:dyDescent="0.35">
      <c r="B21" t="s">
        <v>1004</v>
      </c>
      <c r="J21" t="s">
        <v>971</v>
      </c>
      <c r="K21" s="1" t="s">
        <v>972</v>
      </c>
    </row>
    <row r="22" spans="1:13" x14ac:dyDescent="0.35">
      <c r="J22" t="s">
        <v>967</v>
      </c>
      <c r="K22" s="1" t="s">
        <v>973</v>
      </c>
    </row>
    <row r="23" spans="1:13" x14ac:dyDescent="0.35">
      <c r="B23" t="s">
        <v>1041</v>
      </c>
      <c r="K23" s="1" t="s">
        <v>1040</v>
      </c>
      <c r="M23" s="1"/>
    </row>
    <row r="24" spans="1:13" x14ac:dyDescent="0.35">
      <c r="B24" t="s">
        <v>1080</v>
      </c>
      <c r="K24" s="1" t="s">
        <v>1079</v>
      </c>
      <c r="M24" s="1"/>
    </row>
    <row r="25" spans="1:13" x14ac:dyDescent="0.35">
      <c r="B25" t="s">
        <v>1082</v>
      </c>
      <c r="K25" s="1" t="s">
        <v>1081</v>
      </c>
      <c r="M25" s="1"/>
    </row>
    <row r="26" spans="1:13" x14ac:dyDescent="0.35">
      <c r="B26" t="s">
        <v>1084</v>
      </c>
      <c r="K26" s="1" t="s">
        <v>1083</v>
      </c>
      <c r="M26" s="1"/>
    </row>
    <row r="27" spans="1:13" x14ac:dyDescent="0.35">
      <c r="B27" t="s">
        <v>1101</v>
      </c>
      <c r="K27" s="1" t="s">
        <v>1100</v>
      </c>
      <c r="M27" s="1"/>
    </row>
    <row r="28" spans="1:13" x14ac:dyDescent="0.35">
      <c r="B28" t="s">
        <v>1103</v>
      </c>
      <c r="K28" s="1" t="s">
        <v>1102</v>
      </c>
      <c r="M28" s="1"/>
    </row>
    <row r="29" spans="1:13" x14ac:dyDescent="0.35">
      <c r="B29" t="s">
        <v>1260</v>
      </c>
      <c r="K29" s="1" t="s">
        <v>1259</v>
      </c>
      <c r="M29" s="1"/>
    </row>
    <row r="30" spans="1:13" x14ac:dyDescent="0.35">
      <c r="K30" s="1"/>
      <c r="M30" s="1"/>
    </row>
    <row r="31" spans="1:13" s="5" customFormat="1" x14ac:dyDescent="0.35">
      <c r="A31" s="86" t="s">
        <v>1295</v>
      </c>
    </row>
    <row r="32" spans="1:13" s="159" customFormat="1" x14ac:dyDescent="0.35">
      <c r="A32" s="158"/>
    </row>
    <row r="33" spans="1:20" x14ac:dyDescent="0.35">
      <c r="B33" t="s">
        <v>1293</v>
      </c>
      <c r="K33" s="1" t="s">
        <v>1242</v>
      </c>
      <c r="M33" s="1"/>
    </row>
    <row r="34" spans="1:20" ht="15.5" x14ac:dyDescent="0.35">
      <c r="B34" s="151" t="s">
        <v>1244</v>
      </c>
      <c r="K34" s="6" t="s">
        <v>1245</v>
      </c>
      <c r="M34" s="1"/>
    </row>
    <row r="35" spans="1:20" x14ac:dyDescent="0.35">
      <c r="B35" t="s">
        <v>1294</v>
      </c>
      <c r="K35" s="1" t="s">
        <v>1292</v>
      </c>
    </row>
    <row r="36" spans="1:20" x14ac:dyDescent="0.35">
      <c r="C36" t="s">
        <v>1296</v>
      </c>
      <c r="M36" s="1"/>
    </row>
    <row r="37" spans="1:20" x14ac:dyDescent="0.35">
      <c r="B37" t="s">
        <v>1688</v>
      </c>
      <c r="K37" s="1" t="s">
        <v>1689</v>
      </c>
      <c r="M37" s="1"/>
    </row>
    <row r="38" spans="1:20" x14ac:dyDescent="0.35">
      <c r="M38" s="1"/>
    </row>
    <row r="39" spans="1:20" x14ac:dyDescent="0.35">
      <c r="K39" s="1"/>
      <c r="M39" s="1"/>
    </row>
    <row r="40" spans="1:20" s="5" customFormat="1" x14ac:dyDescent="0.35">
      <c r="A40" s="86" t="s">
        <v>1086</v>
      </c>
    </row>
    <row r="41" spans="1:20" s="2" customFormat="1" ht="15.5" x14ac:dyDescent="0.35">
      <c r="A41" s="93"/>
      <c r="T41" s="151"/>
    </row>
    <row r="42" spans="1:20" x14ac:dyDescent="0.35">
      <c r="B42" t="s">
        <v>1087</v>
      </c>
      <c r="K42" s="1" t="s">
        <v>1085</v>
      </c>
      <c r="M42" s="1"/>
    </row>
    <row r="43" spans="1:20" x14ac:dyDescent="0.35">
      <c r="B43" t="s">
        <v>1089</v>
      </c>
      <c r="K43" s="1" t="s">
        <v>1088</v>
      </c>
      <c r="M43" s="1"/>
    </row>
    <row r="44" spans="1:20" x14ac:dyDescent="0.35">
      <c r="B44" t="s">
        <v>1091</v>
      </c>
      <c r="K44" s="1" t="s">
        <v>1090</v>
      </c>
      <c r="M44" s="1"/>
    </row>
    <row r="45" spans="1:20" x14ac:dyDescent="0.35">
      <c r="B45" t="s">
        <v>1154</v>
      </c>
      <c r="K45" s="1" t="s">
        <v>1153</v>
      </c>
      <c r="M45" s="1"/>
    </row>
    <row r="46" spans="1:20" x14ac:dyDescent="0.35">
      <c r="B46" t="s">
        <v>1297</v>
      </c>
      <c r="K46" s="1" t="s">
        <v>1298</v>
      </c>
      <c r="M46" s="1"/>
    </row>
    <row r="47" spans="1:20" x14ac:dyDescent="0.35">
      <c r="K47" s="1"/>
      <c r="M47" s="1"/>
    </row>
    <row r="48" spans="1:20" s="5" customFormat="1" x14ac:dyDescent="0.35">
      <c r="A48" s="86" t="s">
        <v>1696</v>
      </c>
    </row>
    <row r="49" spans="1:13" x14ac:dyDescent="0.35">
      <c r="K49" s="1"/>
      <c r="M49" s="1"/>
    </row>
    <row r="50" spans="1:13" x14ac:dyDescent="0.35">
      <c r="B50" t="s">
        <v>1693</v>
      </c>
      <c r="K50" s="1" t="s">
        <v>1692</v>
      </c>
      <c r="M50" s="1"/>
    </row>
    <row r="51" spans="1:13" x14ac:dyDescent="0.35">
      <c r="B51" t="s">
        <v>1691</v>
      </c>
      <c r="K51" s="1" t="s">
        <v>1690</v>
      </c>
      <c r="M51" s="1"/>
    </row>
    <row r="52" spans="1:13" x14ac:dyDescent="0.35">
      <c r="B52" t="s">
        <v>1695</v>
      </c>
      <c r="K52" s="1" t="s">
        <v>1694</v>
      </c>
      <c r="M52" s="1"/>
    </row>
    <row r="53" spans="1:13" x14ac:dyDescent="0.35">
      <c r="K53" s="1"/>
      <c r="M53" s="1"/>
    </row>
    <row r="54" spans="1:13" s="5" customFormat="1" x14ac:dyDescent="0.35">
      <c r="A54" s="86" t="s">
        <v>1123</v>
      </c>
    </row>
    <row r="55" spans="1:13" s="2" customFormat="1" x14ac:dyDescent="0.35">
      <c r="A55" s="93"/>
    </row>
    <row r="56" spans="1:13" x14ac:dyDescent="0.35">
      <c r="B56" t="s">
        <v>1112</v>
      </c>
      <c r="K56" s="1"/>
      <c r="M56" s="1"/>
    </row>
    <row r="57" spans="1:13" x14ac:dyDescent="0.35">
      <c r="C57" t="s">
        <v>1092</v>
      </c>
      <c r="D57" t="s">
        <v>1093</v>
      </c>
      <c r="E57" t="s">
        <v>1094</v>
      </c>
      <c r="K57" s="1"/>
      <c r="M57" s="1"/>
    </row>
    <row r="58" spans="1:13" x14ac:dyDescent="0.35">
      <c r="C58" t="s">
        <v>1095</v>
      </c>
      <c r="K58" s="1"/>
      <c r="M58" s="1"/>
    </row>
    <row r="59" spans="1:13" x14ac:dyDescent="0.35">
      <c r="C59" t="s">
        <v>1096</v>
      </c>
      <c r="K59" s="1"/>
      <c r="M59" s="1"/>
    </row>
    <row r="60" spans="1:13" x14ac:dyDescent="0.35">
      <c r="C60" t="s">
        <v>1109</v>
      </c>
      <c r="E60" t="s">
        <v>1115</v>
      </c>
      <c r="K60" s="1"/>
      <c r="M60" s="1"/>
    </row>
    <row r="61" spans="1:13" x14ac:dyDescent="0.35">
      <c r="C61" t="s">
        <v>1110</v>
      </c>
      <c r="K61" s="1"/>
      <c r="M61" s="1"/>
    </row>
    <row r="62" spans="1:13" x14ac:dyDescent="0.35">
      <c r="C62" t="s">
        <v>1111</v>
      </c>
      <c r="K62" s="1"/>
      <c r="M62" s="1"/>
    </row>
    <row r="63" spans="1:13" x14ac:dyDescent="0.35">
      <c r="C63" t="s">
        <v>1113</v>
      </c>
      <c r="K63" s="1"/>
      <c r="M63" s="1"/>
    </row>
    <row r="64" spans="1:13" x14ac:dyDescent="0.35">
      <c r="C64" t="s">
        <v>1114</v>
      </c>
      <c r="K64" s="1"/>
      <c r="M64" s="1"/>
    </row>
    <row r="65" spans="1:13" x14ac:dyDescent="0.35">
      <c r="D65" t="s">
        <v>1121</v>
      </c>
      <c r="K65" s="1"/>
      <c r="M65" s="1"/>
    </row>
    <row r="66" spans="1:13" x14ac:dyDescent="0.35">
      <c r="D66" t="s">
        <v>1122</v>
      </c>
      <c r="G66">
        <v>40</v>
      </c>
      <c r="K66" s="1"/>
      <c r="M66" s="1"/>
    </row>
    <row r="67" spans="1:13" x14ac:dyDescent="0.35">
      <c r="K67" s="1"/>
      <c r="M67" s="1"/>
    </row>
    <row r="68" spans="1:13" x14ac:dyDescent="0.35">
      <c r="K68" s="1"/>
      <c r="M68" s="1"/>
    </row>
    <row r="69" spans="1:13" x14ac:dyDescent="0.35">
      <c r="C69" t="s">
        <v>1116</v>
      </c>
      <c r="K69" s="1"/>
      <c r="M69" s="1"/>
    </row>
    <row r="70" spans="1:13" x14ac:dyDescent="0.35">
      <c r="D70" t="s">
        <v>1117</v>
      </c>
      <c r="K70" s="1"/>
      <c r="M70" s="1"/>
    </row>
    <row r="71" spans="1:13" x14ac:dyDescent="0.35">
      <c r="K71" s="1"/>
      <c r="M71" s="1"/>
    </row>
    <row r="72" spans="1:13" x14ac:dyDescent="0.35">
      <c r="C72" t="s">
        <v>1118</v>
      </c>
      <c r="K72" s="1"/>
      <c r="M72" s="1"/>
    </row>
    <row r="73" spans="1:13" x14ac:dyDescent="0.35">
      <c r="D73" t="s">
        <v>1119</v>
      </c>
      <c r="K73" s="1"/>
      <c r="M73" s="1"/>
    </row>
    <row r="74" spans="1:13" x14ac:dyDescent="0.35">
      <c r="K74" s="1"/>
      <c r="M74" s="1"/>
    </row>
    <row r="75" spans="1:13" x14ac:dyDescent="0.35">
      <c r="C75" t="s">
        <v>1120</v>
      </c>
      <c r="K75" s="1"/>
      <c r="M75" s="1"/>
    </row>
    <row r="76" spans="1:13" x14ac:dyDescent="0.35">
      <c r="K76" s="1"/>
      <c r="M76" s="1"/>
    </row>
    <row r="77" spans="1:13" x14ac:dyDescent="0.35">
      <c r="B77" s="1" t="s">
        <v>1188</v>
      </c>
      <c r="K77" s="1"/>
      <c r="M77" s="1"/>
    </row>
    <row r="78" spans="1:13" x14ac:dyDescent="0.35">
      <c r="B78" s="1"/>
      <c r="K78" s="1"/>
      <c r="M78" s="1"/>
    </row>
    <row r="79" spans="1:13" s="5" customFormat="1" x14ac:dyDescent="0.35">
      <c r="A79" s="86" t="s">
        <v>1197</v>
      </c>
    </row>
    <row r="80" spans="1:13" x14ac:dyDescent="0.35">
      <c r="B80" s="1"/>
      <c r="M80" s="1"/>
    </row>
    <row r="81" spans="1:13" x14ac:dyDescent="0.35">
      <c r="C81" t="s">
        <v>1190</v>
      </c>
      <c r="K81" s="1" t="s">
        <v>1189</v>
      </c>
      <c r="M81" s="1"/>
    </row>
    <row r="82" spans="1:13" x14ac:dyDescent="0.35">
      <c r="C82" t="s">
        <v>1192</v>
      </c>
      <c r="K82" s="1" t="s">
        <v>1191</v>
      </c>
      <c r="M82" s="1"/>
    </row>
    <row r="83" spans="1:13" x14ac:dyDescent="0.35">
      <c r="D83" t="s">
        <v>1195</v>
      </c>
      <c r="K83" s="1" t="s">
        <v>1193</v>
      </c>
      <c r="M83" s="1"/>
    </row>
    <row r="84" spans="1:13" x14ac:dyDescent="0.35">
      <c r="C84" t="s">
        <v>1202</v>
      </c>
      <c r="K84" s="1" t="s">
        <v>1201</v>
      </c>
      <c r="M84" s="1"/>
    </row>
    <row r="85" spans="1:13" x14ac:dyDescent="0.35">
      <c r="K85" s="1"/>
      <c r="M85" s="1"/>
    </row>
    <row r="86" spans="1:13" s="5" customFormat="1" x14ac:dyDescent="0.35">
      <c r="A86" s="86" t="s">
        <v>1196</v>
      </c>
    </row>
    <row r="87" spans="1:13" x14ac:dyDescent="0.35">
      <c r="K87" s="1"/>
      <c r="M87" s="1"/>
    </row>
    <row r="88" spans="1:13" x14ac:dyDescent="0.35">
      <c r="B88" t="s">
        <v>1198</v>
      </c>
      <c r="F88" s="15">
        <f>7000/13</f>
        <v>538.46153846153845</v>
      </c>
      <c r="G88" t="s">
        <v>1199</v>
      </c>
      <c r="K88" s="1" t="s">
        <v>1194</v>
      </c>
      <c r="M88" s="1"/>
    </row>
    <row r="89" spans="1:13" x14ac:dyDescent="0.35">
      <c r="B89" t="s">
        <v>1200</v>
      </c>
      <c r="F89" s="15">
        <f>12000/100</f>
        <v>120</v>
      </c>
      <c r="G89" t="s">
        <v>1199</v>
      </c>
      <c r="K89" s="1"/>
      <c r="M89" s="1"/>
    </row>
    <row r="90" spans="1:13" x14ac:dyDescent="0.35">
      <c r="K90" s="1"/>
      <c r="M90" s="1"/>
    </row>
    <row r="91" spans="1:13" s="5" customFormat="1" x14ac:dyDescent="0.35">
      <c r="A91" s="86" t="s">
        <v>1105</v>
      </c>
    </row>
    <row r="92" spans="1:13" s="2" customFormat="1" x14ac:dyDescent="0.35">
      <c r="A92" s="93"/>
    </row>
    <row r="93" spans="1:13" x14ac:dyDescent="0.35">
      <c r="B93" t="s">
        <v>1107</v>
      </c>
      <c r="C93" t="s">
        <v>1104</v>
      </c>
      <c r="K93" s="1" t="s">
        <v>1106</v>
      </c>
      <c r="M93" s="1"/>
    </row>
    <row r="94" spans="1:13" x14ac:dyDescent="0.35">
      <c r="B94" t="s">
        <v>1108</v>
      </c>
      <c r="K94" s="1"/>
      <c r="M94" s="1"/>
    </row>
    <row r="95" spans="1:13" x14ac:dyDescent="0.35">
      <c r="K95" s="1"/>
      <c r="M95" s="1"/>
    </row>
    <row r="96" spans="1:13" x14ac:dyDescent="0.35">
      <c r="B96" s="149" t="s">
        <v>1187</v>
      </c>
      <c r="K96" s="1"/>
      <c r="M96" s="1"/>
    </row>
    <row r="97" spans="1:13" x14ac:dyDescent="0.35">
      <c r="K97" s="1"/>
      <c r="M97" s="1"/>
    </row>
    <row r="98" spans="1:13" x14ac:dyDescent="0.35">
      <c r="K98" s="1"/>
      <c r="M98" s="1"/>
    </row>
    <row r="99" spans="1:13" x14ac:dyDescent="0.35">
      <c r="K99" s="1"/>
      <c r="M99" s="1"/>
    </row>
    <row r="100" spans="1:13" s="5" customFormat="1" x14ac:dyDescent="0.35">
      <c r="A100" s="86" t="s">
        <v>1098</v>
      </c>
    </row>
    <row r="101" spans="1:13" x14ac:dyDescent="0.35">
      <c r="K101" s="1"/>
      <c r="M101" s="1"/>
    </row>
    <row r="102" spans="1:13" x14ac:dyDescent="0.35">
      <c r="B102" t="s">
        <v>1099</v>
      </c>
      <c r="K102" s="1" t="s">
        <v>1097</v>
      </c>
      <c r="M102" s="1"/>
    </row>
    <row r="103" spans="1:13" x14ac:dyDescent="0.35">
      <c r="B103" t="s">
        <v>1243</v>
      </c>
      <c r="K103" s="1" t="s">
        <v>1242</v>
      </c>
      <c r="M103" s="1"/>
    </row>
    <row r="104" spans="1:13" ht="15.5" x14ac:dyDescent="0.35">
      <c r="B104" s="151" t="s">
        <v>1244</v>
      </c>
      <c r="K104" s="6" t="s">
        <v>1245</v>
      </c>
      <c r="M104" s="1"/>
    </row>
    <row r="105" spans="1:13" x14ac:dyDescent="0.35">
      <c r="K105" s="1"/>
      <c r="M105" s="1"/>
    </row>
    <row r="106" spans="1:13" x14ac:dyDescent="0.35">
      <c r="K106" s="1"/>
      <c r="M106" s="1"/>
    </row>
    <row r="107" spans="1:13" s="5" customFormat="1" x14ac:dyDescent="0.35">
      <c r="A107" s="86" t="s">
        <v>4421</v>
      </c>
    </row>
    <row r="108" spans="1:13" x14ac:dyDescent="0.35">
      <c r="K108" s="1"/>
      <c r="M108" s="1"/>
    </row>
    <row r="109" spans="1:13" x14ac:dyDescent="0.35">
      <c r="B109" s="83" t="s">
        <v>4321</v>
      </c>
      <c r="D109" t="s">
        <v>4369</v>
      </c>
      <c r="J109" t="s">
        <v>4372</v>
      </c>
      <c r="K109" s="1"/>
      <c r="M109" s="1"/>
    </row>
    <row r="110" spans="1:13" x14ac:dyDescent="0.35">
      <c r="B110" s="83"/>
      <c r="D110" t="s">
        <v>4370</v>
      </c>
      <c r="J110" t="s">
        <v>4373</v>
      </c>
      <c r="K110" s="1"/>
      <c r="M110" s="1"/>
    </row>
    <row r="111" spans="1:13" x14ac:dyDescent="0.35">
      <c r="B111" s="83"/>
      <c r="D111" t="s">
        <v>4371</v>
      </c>
      <c r="J111" t="s">
        <v>4374</v>
      </c>
      <c r="K111" s="1"/>
      <c r="M111" s="1"/>
    </row>
    <row r="113" spans="1:17" ht="44" customHeight="1" x14ac:dyDescent="0.35">
      <c r="B113" s="83" t="s">
        <v>4368</v>
      </c>
      <c r="D113" s="144" t="s">
        <v>4355</v>
      </c>
      <c r="E113" s="144" t="s">
        <v>4356</v>
      </c>
      <c r="F113" s="144" t="s">
        <v>4366</v>
      </c>
      <c r="G113" s="144" t="s">
        <v>4357</v>
      </c>
      <c r="H113" s="144" t="s">
        <v>4363</v>
      </c>
      <c r="I113" s="144" t="s">
        <v>4358</v>
      </c>
      <c r="J113" s="144" t="s">
        <v>4359</v>
      </c>
      <c r="K113" s="144" t="s">
        <v>4364</v>
      </c>
      <c r="L113" s="144" t="s">
        <v>4360</v>
      </c>
      <c r="M113" s="144" t="s">
        <v>4361</v>
      </c>
      <c r="N113" s="144" t="s">
        <v>4362</v>
      </c>
    </row>
    <row r="114" spans="1:17" x14ac:dyDescent="0.35">
      <c r="B114" s="83" t="s">
        <v>4365</v>
      </c>
      <c r="D114" s="162">
        <v>1000000</v>
      </c>
      <c r="E114">
        <v>265</v>
      </c>
      <c r="F114">
        <f>E114*1.4</f>
        <v>371</v>
      </c>
      <c r="G114" s="15">
        <f>F114/(D114/1000000)</f>
        <v>371</v>
      </c>
      <c r="H114" s="15">
        <f>1000*(G114*0.000001)*F114</f>
        <v>137.64099999999999</v>
      </c>
      <c r="I114" s="13">
        <f>16/(D114/1000000)</f>
        <v>16</v>
      </c>
      <c r="J114" s="13">
        <f>4/(D114/1000000)</f>
        <v>4</v>
      </c>
      <c r="K114" s="162">
        <v>100</v>
      </c>
      <c r="L114">
        <f>(K114*0.000000001)*D114</f>
        <v>0.1</v>
      </c>
      <c r="M114">
        <v>20</v>
      </c>
      <c r="N114">
        <f>(M114*0.000000000001 *D114)*1000000</f>
        <v>20</v>
      </c>
      <c r="Q114" t="s">
        <v>4367</v>
      </c>
    </row>
    <row r="115" spans="1:17" x14ac:dyDescent="0.35">
      <c r="K115" s="1"/>
      <c r="M115" s="1"/>
    </row>
    <row r="116" spans="1:17" s="5" customFormat="1" x14ac:dyDescent="0.35">
      <c r="A116" s="86" t="s">
        <v>5306</v>
      </c>
    </row>
    <row r="117" spans="1:17" s="2" customFormat="1" x14ac:dyDescent="0.35">
      <c r="A117" s="93"/>
    </row>
    <row r="118" spans="1:17" s="2" customFormat="1" x14ac:dyDescent="0.35">
      <c r="A118" s="93"/>
      <c r="B118" s="2" t="s">
        <v>1277</v>
      </c>
      <c r="J118"/>
      <c r="K118" s="1" t="s">
        <v>1269</v>
      </c>
    </row>
    <row r="119" spans="1:17" s="2" customFormat="1" x14ac:dyDescent="0.35">
      <c r="A119" s="93"/>
      <c r="B119" s="2" t="s">
        <v>1279</v>
      </c>
      <c r="J119"/>
      <c r="K119" s="1" t="s">
        <v>1278</v>
      </c>
    </row>
    <row r="120" spans="1:17" s="2" customFormat="1" x14ac:dyDescent="0.35">
      <c r="A120" s="93"/>
      <c r="J120"/>
      <c r="K120" s="1"/>
    </row>
    <row r="121" spans="1:17" x14ac:dyDescent="0.35">
      <c r="D121" s="156" t="s">
        <v>1275</v>
      </c>
      <c r="E121" s="156" t="s">
        <v>1276</v>
      </c>
      <c r="M121" s="1"/>
    </row>
    <row r="122" spans="1:17" x14ac:dyDescent="0.35">
      <c r="B122" t="s">
        <v>502</v>
      </c>
      <c r="C122" t="s">
        <v>1270</v>
      </c>
      <c r="D122" s="13">
        <v>3</v>
      </c>
      <c r="E122" s="13">
        <v>9</v>
      </c>
      <c r="K122" s="1"/>
      <c r="M122" s="1"/>
    </row>
    <row r="123" spans="1:17" x14ac:dyDescent="0.35">
      <c r="B123" t="s">
        <v>355</v>
      </c>
      <c r="C123" t="s">
        <v>351</v>
      </c>
      <c r="D123">
        <v>200</v>
      </c>
      <c r="E123">
        <v>200</v>
      </c>
      <c r="K123" s="1"/>
      <c r="M123" s="1"/>
    </row>
    <row r="124" spans="1:17" x14ac:dyDescent="0.35">
      <c r="B124" t="s">
        <v>1271</v>
      </c>
      <c r="D124" s="13">
        <f>3.14*(((D122/12)/2)^2)*D123</f>
        <v>9.8125</v>
      </c>
      <c r="E124" s="13">
        <f>3.14*(((E122/12)/2)^2)*E123</f>
        <v>88.3125</v>
      </c>
      <c r="K124" s="1"/>
      <c r="M124" s="1"/>
    </row>
    <row r="125" spans="1:17" x14ac:dyDescent="0.35">
      <c r="B125" t="s">
        <v>1272</v>
      </c>
      <c r="D125" s="13">
        <f>D124*0.03</f>
        <v>0.294375</v>
      </c>
      <c r="E125" s="13">
        <f>E124*0.03</f>
        <v>2.649375</v>
      </c>
      <c r="K125" s="1"/>
      <c r="M125" s="1"/>
    </row>
    <row r="126" spans="1:17" x14ac:dyDescent="0.35">
      <c r="B126" t="s">
        <v>1273</v>
      </c>
      <c r="C126" t="s">
        <v>1274</v>
      </c>
      <c r="D126" s="15">
        <f>D124*8*7.48</f>
        <v>587.18000000000006</v>
      </c>
      <c r="E126" s="20">
        <f>E124*8*7.48</f>
        <v>5284.62</v>
      </c>
      <c r="K126" s="1"/>
      <c r="M126" s="1"/>
    </row>
    <row r="127" spans="1:17" x14ac:dyDescent="0.35">
      <c r="K127" s="1"/>
      <c r="M127" s="1"/>
    </row>
    <row r="128" spans="1:17" s="5" customFormat="1" x14ac:dyDescent="0.35">
      <c r="A128" s="86" t="s">
        <v>988</v>
      </c>
    </row>
    <row r="129" spans="1:15" s="2" customFormat="1" x14ac:dyDescent="0.35">
      <c r="A129" s="93"/>
    </row>
    <row r="130" spans="1:15" ht="15" thickBot="1" x14ac:dyDescent="0.4">
      <c r="B130" s="50"/>
      <c r="C130" s="50"/>
      <c r="D130" s="50"/>
      <c r="E130" s="50" t="s">
        <v>945</v>
      </c>
      <c r="F130" s="130" t="s">
        <v>956</v>
      </c>
      <c r="G130" s="50" t="s">
        <v>989</v>
      </c>
      <c r="H130" s="50"/>
      <c r="I130" s="50"/>
      <c r="J130" s="19" t="s">
        <v>1314</v>
      </c>
      <c r="M130" s="1"/>
    </row>
    <row r="131" spans="1:15" x14ac:dyDescent="0.35">
      <c r="B131" t="s">
        <v>943</v>
      </c>
      <c r="E131">
        <v>4</v>
      </c>
      <c r="F131" s="3" t="s">
        <v>953</v>
      </c>
      <c r="L131" t="s">
        <v>965</v>
      </c>
      <c r="M131" s="1"/>
      <c r="N131">
        <f>4*8/12</f>
        <v>2.6666666666666665</v>
      </c>
      <c r="O131" t="s">
        <v>480</v>
      </c>
    </row>
    <row r="132" spans="1:15" x14ac:dyDescent="0.35">
      <c r="B132" t="s">
        <v>944</v>
      </c>
      <c r="E132">
        <v>5</v>
      </c>
      <c r="F132" s="3" t="s">
        <v>954</v>
      </c>
      <c r="G132" s="9">
        <f>E267</f>
        <v>16.666666666666668</v>
      </c>
      <c r="J132" s="8">
        <f>G13:G132/$N$131</f>
        <v>6.2500000000000009</v>
      </c>
      <c r="M132" s="1"/>
    </row>
    <row r="133" spans="1:15" x14ac:dyDescent="0.35">
      <c r="B133" t="s">
        <v>952</v>
      </c>
      <c r="E133">
        <v>6.25</v>
      </c>
      <c r="F133" s="3" t="s">
        <v>955</v>
      </c>
      <c r="M133" s="1"/>
    </row>
    <row r="134" spans="1:15" x14ac:dyDescent="0.35">
      <c r="B134" t="s">
        <v>959</v>
      </c>
      <c r="F134" s="3" t="s">
        <v>960</v>
      </c>
      <c r="M134" s="1"/>
    </row>
    <row r="135" spans="1:15" x14ac:dyDescent="0.35">
      <c r="B135" t="s">
        <v>975</v>
      </c>
      <c r="E135">
        <v>7.2</v>
      </c>
      <c r="F135" s="3" t="s">
        <v>1042</v>
      </c>
      <c r="G135" s="8">
        <f>F267</f>
        <v>19.5</v>
      </c>
      <c r="J135" s="8">
        <f>G16:G135/$N$131</f>
        <v>7.3125</v>
      </c>
      <c r="M135" s="1"/>
    </row>
    <row r="136" spans="1:15" x14ac:dyDescent="0.35">
      <c r="B136" t="s">
        <v>908</v>
      </c>
      <c r="E136" s="1" t="s">
        <v>941</v>
      </c>
      <c r="F136" t="s">
        <v>0</v>
      </c>
      <c r="M136" s="1"/>
    </row>
    <row r="137" spans="1:15" x14ac:dyDescent="0.35">
      <c r="E137" s="1" t="s">
        <v>937</v>
      </c>
      <c r="F137" t="s">
        <v>0</v>
      </c>
      <c r="M137" s="1"/>
    </row>
    <row r="138" spans="1:15" x14ac:dyDescent="0.35">
      <c r="E138" s="1"/>
      <c r="M138" s="1"/>
    </row>
    <row r="139" spans="1:15" s="5" customFormat="1" x14ac:dyDescent="0.35">
      <c r="A139" s="86" t="s">
        <v>990</v>
      </c>
    </row>
    <row r="141" spans="1:15" x14ac:dyDescent="0.35">
      <c r="D141" t="s">
        <v>936</v>
      </c>
    </row>
    <row r="142" spans="1:15" x14ac:dyDescent="0.35">
      <c r="B142" t="s">
        <v>932</v>
      </c>
      <c r="C142" t="s">
        <v>351</v>
      </c>
      <c r="D142">
        <v>30</v>
      </c>
    </row>
    <row r="143" spans="1:15" x14ac:dyDescent="0.35">
      <c r="B143" t="s">
        <v>933</v>
      </c>
      <c r="C143" t="s">
        <v>351</v>
      </c>
      <c r="D143">
        <v>40</v>
      </c>
    </row>
    <row r="144" spans="1:15" x14ac:dyDescent="0.35">
      <c r="B144" t="s">
        <v>934</v>
      </c>
      <c r="C144" t="s">
        <v>351</v>
      </c>
      <c r="D144">
        <v>18</v>
      </c>
    </row>
    <row r="146" spans="1:14" x14ac:dyDescent="0.35">
      <c r="B146" t="s">
        <v>935</v>
      </c>
      <c r="C146" t="s">
        <v>520</v>
      </c>
      <c r="D146">
        <f>(D142*2+D143*2)*D144</f>
        <v>2520</v>
      </c>
    </row>
    <row r="147" spans="1:14" x14ac:dyDescent="0.35">
      <c r="B147" t="s">
        <v>265</v>
      </c>
      <c r="C147" t="s">
        <v>520</v>
      </c>
      <c r="D147">
        <v>2000</v>
      </c>
    </row>
    <row r="148" spans="1:14" x14ac:dyDescent="0.35">
      <c r="B148" t="s">
        <v>1253</v>
      </c>
      <c r="C148" t="s">
        <v>520</v>
      </c>
      <c r="D148">
        <f>D142*D143</f>
        <v>1200</v>
      </c>
    </row>
    <row r="149" spans="1:14" x14ac:dyDescent="0.35">
      <c r="B149" t="s">
        <v>1254</v>
      </c>
      <c r="C149" t="s">
        <v>520</v>
      </c>
      <c r="D149">
        <v>2000</v>
      </c>
      <c r="F149" t="s">
        <v>1255</v>
      </c>
    </row>
    <row r="151" spans="1:14" x14ac:dyDescent="0.35">
      <c r="C151" s="73" t="s">
        <v>966</v>
      </c>
      <c r="D151" s="15">
        <f>D146/(4*8)</f>
        <v>78.75</v>
      </c>
    </row>
    <row r="152" spans="1:14" x14ac:dyDescent="0.35">
      <c r="C152" s="73"/>
      <c r="D152" s="15"/>
    </row>
    <row r="153" spans="1:14" s="5" customFormat="1" x14ac:dyDescent="0.35">
      <c r="A153" s="86" t="s">
        <v>1127</v>
      </c>
    </row>
    <row r="154" spans="1:14" x14ac:dyDescent="0.35">
      <c r="C154" s="73"/>
      <c r="D154" s="15"/>
    </row>
    <row r="155" spans="1:14" ht="39.5" x14ac:dyDescent="0.35">
      <c r="E155" s="73"/>
      <c r="F155" s="15"/>
      <c r="H155" s="144" t="s">
        <v>1132</v>
      </c>
      <c r="I155" s="144" t="s">
        <v>1133</v>
      </c>
      <c r="J155" s="144" t="s">
        <v>1265</v>
      </c>
      <c r="N155" s="145" t="s">
        <v>1141</v>
      </c>
    </row>
    <row r="156" spans="1:14" x14ac:dyDescent="0.35">
      <c r="B156" t="s">
        <v>1165</v>
      </c>
      <c r="D156" t="s">
        <v>1266</v>
      </c>
      <c r="E156" s="73"/>
      <c r="F156" s="15"/>
      <c r="G156" t="s">
        <v>1124</v>
      </c>
      <c r="H156" s="32">
        <v>25</v>
      </c>
      <c r="I156" s="32">
        <v>25</v>
      </c>
      <c r="J156" s="20">
        <f>I156</f>
        <v>25</v>
      </c>
      <c r="N156" s="145"/>
    </row>
    <row r="157" spans="1:14" x14ac:dyDescent="0.35">
      <c r="D157" t="s">
        <v>1267</v>
      </c>
      <c r="E157" s="73"/>
      <c r="F157" s="15"/>
      <c r="G157" t="s">
        <v>1124</v>
      </c>
      <c r="H157" s="32">
        <v>75</v>
      </c>
      <c r="I157" s="32">
        <f>H157</f>
        <v>75</v>
      </c>
      <c r="J157" s="20">
        <f>I157</f>
        <v>75</v>
      </c>
      <c r="N157" s="145"/>
    </row>
    <row r="158" spans="1:14" x14ac:dyDescent="0.35">
      <c r="D158" t="s">
        <v>1168</v>
      </c>
      <c r="E158" s="73"/>
      <c r="F158" s="15"/>
      <c r="G158" t="s">
        <v>1124</v>
      </c>
      <c r="H158" s="31">
        <f>H157-H156</f>
        <v>50</v>
      </c>
      <c r="I158" s="31">
        <f>I157-I156</f>
        <v>50</v>
      </c>
      <c r="J158" s="31">
        <f>J157-J156</f>
        <v>50</v>
      </c>
    </row>
    <row r="159" spans="1:14" x14ac:dyDescent="0.35">
      <c r="D159" t="s">
        <v>1268</v>
      </c>
      <c r="E159" s="128"/>
      <c r="F159" s="15"/>
      <c r="G159" t="s">
        <v>1124</v>
      </c>
      <c r="H159" s="32">
        <v>30</v>
      </c>
      <c r="I159" s="32">
        <v>30</v>
      </c>
      <c r="J159" s="20">
        <f>I159</f>
        <v>30</v>
      </c>
    </row>
    <row r="160" spans="1:14" x14ac:dyDescent="0.35">
      <c r="E160" s="128"/>
      <c r="F160" s="15"/>
      <c r="I160" t="s">
        <v>0</v>
      </c>
      <c r="J160" t="s">
        <v>0</v>
      </c>
    </row>
    <row r="161" spans="2:10" x14ac:dyDescent="0.35">
      <c r="B161" t="s">
        <v>1158</v>
      </c>
      <c r="D161" t="s">
        <v>1128</v>
      </c>
      <c r="E161" s="73"/>
      <c r="F161" s="15"/>
      <c r="G161" t="s">
        <v>520</v>
      </c>
      <c r="H161" s="32">
        <f>D146</f>
        <v>2520</v>
      </c>
      <c r="I161" s="32">
        <f>$D146</f>
        <v>2520</v>
      </c>
      <c r="J161" s="20">
        <f>I161</f>
        <v>2520</v>
      </c>
    </row>
    <row r="162" spans="2:10" x14ac:dyDescent="0.35">
      <c r="D162" t="s">
        <v>1129</v>
      </c>
      <c r="E162" s="73"/>
      <c r="F162" s="15"/>
      <c r="G162" t="s">
        <v>520</v>
      </c>
      <c r="H162" s="32">
        <f>D147</f>
        <v>2000</v>
      </c>
      <c r="I162" s="32">
        <f>$D147</f>
        <v>2000</v>
      </c>
      <c r="J162" s="20">
        <f>I162</f>
        <v>2000</v>
      </c>
    </row>
    <row r="163" spans="2:10" x14ac:dyDescent="0.35">
      <c r="D163" t="s">
        <v>1155</v>
      </c>
      <c r="E163" s="73"/>
      <c r="F163" s="15"/>
      <c r="G163" t="s">
        <v>520</v>
      </c>
      <c r="H163" s="32">
        <f>D142*D143</f>
        <v>1200</v>
      </c>
      <c r="I163" s="32">
        <f>$D142*$D143</f>
        <v>1200</v>
      </c>
      <c r="J163" s="20">
        <f>I163</f>
        <v>1200</v>
      </c>
    </row>
    <row r="164" spans="2:10" x14ac:dyDescent="0.35">
      <c r="D164" t="s">
        <v>1252</v>
      </c>
      <c r="E164" s="73"/>
      <c r="F164" s="15"/>
      <c r="G164" t="s">
        <v>520</v>
      </c>
      <c r="H164" s="20">
        <f>H165*$D149</f>
        <v>360</v>
      </c>
      <c r="I164" s="20">
        <f>I165*$D149</f>
        <v>160</v>
      </c>
      <c r="J164" s="20">
        <f>J165*$D149</f>
        <v>160</v>
      </c>
    </row>
    <row r="165" spans="2:10" x14ac:dyDescent="0.35">
      <c r="E165" s="73" t="s">
        <v>1147</v>
      </c>
      <c r="F165" s="15"/>
      <c r="G165" t="s">
        <v>1169</v>
      </c>
      <c r="H165" s="153">
        <v>0.18</v>
      </c>
      <c r="I165" s="153">
        <v>0.08</v>
      </c>
      <c r="J165" s="106">
        <f>I165</f>
        <v>0.08</v>
      </c>
    </row>
    <row r="166" spans="2:10" x14ac:dyDescent="0.35">
      <c r="E166" s="73"/>
      <c r="F166" s="15"/>
    </row>
    <row r="167" spans="2:10" x14ac:dyDescent="0.35">
      <c r="B167" t="s">
        <v>177</v>
      </c>
      <c r="D167" t="s">
        <v>1130</v>
      </c>
      <c r="E167" s="73"/>
      <c r="F167" s="15"/>
      <c r="G167" t="s">
        <v>1126</v>
      </c>
      <c r="H167" s="152">
        <v>16</v>
      </c>
      <c r="I167" s="152">
        <v>40</v>
      </c>
      <c r="J167" s="13">
        <f>I167*(1-J165)+(I167-13)*J165</f>
        <v>38.960000000000008</v>
      </c>
    </row>
    <row r="168" spans="2:10" x14ac:dyDescent="0.35">
      <c r="D168" t="s">
        <v>1131</v>
      </c>
      <c r="E168" s="73"/>
      <c r="F168" s="15"/>
      <c r="G168" t="s">
        <v>1126</v>
      </c>
      <c r="H168" s="152">
        <v>40</v>
      </c>
      <c r="I168" s="152">
        <v>80</v>
      </c>
      <c r="J168">
        <v>80</v>
      </c>
    </row>
    <row r="169" spans="2:10" x14ac:dyDescent="0.35">
      <c r="D169" t="s">
        <v>1156</v>
      </c>
      <c r="E169" s="73"/>
      <c r="F169" s="15"/>
      <c r="G169" t="s">
        <v>1126</v>
      </c>
      <c r="H169" s="152">
        <v>12</v>
      </c>
      <c r="I169" s="152">
        <v>50</v>
      </c>
      <c r="J169">
        <v>50</v>
      </c>
    </row>
    <row r="170" spans="2:10" x14ac:dyDescent="0.35">
      <c r="D170" t="s">
        <v>1256</v>
      </c>
      <c r="E170" s="73"/>
      <c r="F170" s="15"/>
      <c r="G170" t="s">
        <v>1126</v>
      </c>
      <c r="H170" s="152">
        <v>3</v>
      </c>
      <c r="I170" s="152">
        <v>4</v>
      </c>
      <c r="J170">
        <v>18</v>
      </c>
    </row>
    <row r="171" spans="2:10" x14ac:dyDescent="0.35">
      <c r="E171" s="73"/>
      <c r="F171" s="15"/>
    </row>
    <row r="172" spans="2:10" x14ac:dyDescent="0.35">
      <c r="B172" t="s">
        <v>1159</v>
      </c>
      <c r="D172" t="s">
        <v>1135</v>
      </c>
      <c r="E172" s="73"/>
      <c r="F172" s="15"/>
      <c r="G172" t="s">
        <v>1134</v>
      </c>
      <c r="H172" s="20">
        <f>H161*H158/H167</f>
        <v>7875</v>
      </c>
      <c r="I172" s="20">
        <f>I161*I158/I167</f>
        <v>3150</v>
      </c>
      <c r="J172" s="20">
        <f>J161*J158/J167</f>
        <v>3234.0862422997939</v>
      </c>
    </row>
    <row r="173" spans="2:10" x14ac:dyDescent="0.35">
      <c r="D173" t="s">
        <v>1136</v>
      </c>
      <c r="E173" s="73"/>
      <c r="G173" s="7" t="s">
        <v>1134</v>
      </c>
      <c r="H173" s="146">
        <f t="shared" ref="H173:J174" si="0">H162*H158/H168</f>
        <v>2500</v>
      </c>
      <c r="I173" s="146">
        <f t="shared" si="0"/>
        <v>1250</v>
      </c>
      <c r="J173" s="146">
        <f t="shared" si="0"/>
        <v>1250</v>
      </c>
    </row>
    <row r="174" spans="2:10" x14ac:dyDescent="0.35">
      <c r="D174" t="s">
        <v>1164</v>
      </c>
      <c r="E174" s="73"/>
      <c r="G174" s="7" t="s">
        <v>1134</v>
      </c>
      <c r="H174" s="146">
        <f t="shared" si="0"/>
        <v>3000</v>
      </c>
      <c r="I174" s="146">
        <f t="shared" si="0"/>
        <v>720</v>
      </c>
      <c r="J174" s="146">
        <f t="shared" si="0"/>
        <v>720</v>
      </c>
    </row>
    <row r="175" spans="2:10" x14ac:dyDescent="0.35">
      <c r="D175" t="s">
        <v>1257</v>
      </c>
      <c r="E175" s="73"/>
      <c r="G175" s="7" t="s">
        <v>1134</v>
      </c>
      <c r="H175" s="146">
        <f>H164*H158/H170</f>
        <v>6000</v>
      </c>
      <c r="I175" s="146">
        <f>I164*I158/I170</f>
        <v>2000</v>
      </c>
      <c r="J175" s="146">
        <f>J164*J158/J170</f>
        <v>444.44444444444446</v>
      </c>
    </row>
    <row r="176" spans="2:10" x14ac:dyDescent="0.35">
      <c r="D176" t="s">
        <v>1258</v>
      </c>
      <c r="E176" s="73"/>
      <c r="G176" s="7" t="s">
        <v>1134</v>
      </c>
      <c r="H176" s="146">
        <f>H177*SUM(H172:H174)</f>
        <v>1337.5</v>
      </c>
      <c r="I176" s="146">
        <f>I177*SUM(I172:I174)</f>
        <v>512</v>
      </c>
      <c r="J176" s="146">
        <f>J177*SUM(J172:J174)</f>
        <v>520.40862422997941</v>
      </c>
    </row>
    <row r="177" spans="4:10" x14ac:dyDescent="0.35">
      <c r="E177" s="73" t="s">
        <v>1147</v>
      </c>
      <c r="G177" s="19" t="s">
        <v>1169</v>
      </c>
      <c r="H177" s="147">
        <v>0.1</v>
      </c>
      <c r="I177" s="147">
        <v>0.1</v>
      </c>
      <c r="J177" s="147">
        <v>0.1</v>
      </c>
    </row>
    <row r="178" spans="4:10" x14ac:dyDescent="0.35">
      <c r="E178" s="73"/>
      <c r="H178" s="4"/>
      <c r="I178" s="4"/>
      <c r="J178" s="4"/>
    </row>
    <row r="179" spans="4:10" x14ac:dyDescent="0.35">
      <c r="D179" t="s">
        <v>1137</v>
      </c>
      <c r="E179" s="73"/>
      <c r="F179" s="1" t="s">
        <v>1125</v>
      </c>
      <c r="G179" t="s">
        <v>1134</v>
      </c>
      <c r="H179" s="20">
        <f>SUM(H172:H176)</f>
        <v>20712.5</v>
      </c>
      <c r="I179" s="20">
        <f>SUM(I172:I176)</f>
        <v>7632</v>
      </c>
      <c r="J179" s="20">
        <f>SUM(J172:J176)</f>
        <v>6168.9393109742177</v>
      </c>
    </row>
    <row r="180" spans="4:10" x14ac:dyDescent="0.35">
      <c r="E180" s="73"/>
      <c r="F180" s="1"/>
      <c r="G180" t="s">
        <v>1142</v>
      </c>
      <c r="H180" s="27">
        <f>H179*0.00029307107</f>
        <v>6.0702345373749997</v>
      </c>
      <c r="I180" s="27">
        <f>I179*0.00029307107</f>
        <v>2.2367184062400001</v>
      </c>
      <c r="J180" s="27">
        <f>J179*0.00029307107</f>
        <v>1.8079376446322766</v>
      </c>
    </row>
    <row r="181" spans="4:10" x14ac:dyDescent="0.35">
      <c r="E181" s="73"/>
      <c r="F181" s="1"/>
      <c r="H181" s="27"/>
      <c r="I181" s="27"/>
      <c r="J181" s="27"/>
    </row>
    <row r="182" spans="4:10" x14ac:dyDescent="0.35">
      <c r="D182" t="s">
        <v>1135</v>
      </c>
      <c r="E182" s="73"/>
      <c r="F182" s="15"/>
      <c r="G182" t="s">
        <v>4</v>
      </c>
      <c r="H182" s="20">
        <f t="shared" ref="H182:J185" si="1">H172*0.00029307107*1000</f>
        <v>2307.9346762499999</v>
      </c>
      <c r="I182" s="20">
        <f t="shared" si="1"/>
        <v>923.17387050000002</v>
      </c>
      <c r="J182" s="20">
        <f t="shared" si="1"/>
        <v>947.81711550307978</v>
      </c>
    </row>
    <row r="183" spans="4:10" x14ac:dyDescent="0.35">
      <c r="D183" t="s">
        <v>1136</v>
      </c>
      <c r="E183" s="73"/>
      <c r="G183" t="s">
        <v>4</v>
      </c>
      <c r="H183" s="20">
        <f t="shared" si="1"/>
        <v>732.67767500000002</v>
      </c>
      <c r="I183" s="20">
        <f t="shared" si="1"/>
        <v>366.33883750000001</v>
      </c>
      <c r="J183" s="20">
        <f t="shared" si="1"/>
        <v>366.33883750000001</v>
      </c>
    </row>
    <row r="184" spans="4:10" x14ac:dyDescent="0.35">
      <c r="D184" t="s">
        <v>1164</v>
      </c>
      <c r="E184" s="73"/>
      <c r="G184" t="s">
        <v>4</v>
      </c>
      <c r="H184" s="20">
        <f t="shared" si="1"/>
        <v>879.21321</v>
      </c>
      <c r="I184" s="20">
        <f t="shared" si="1"/>
        <v>211.0111704</v>
      </c>
      <c r="J184" s="20">
        <f t="shared" si="1"/>
        <v>211.0111704</v>
      </c>
    </row>
    <row r="185" spans="4:10" x14ac:dyDescent="0.35">
      <c r="D185" t="s">
        <v>1257</v>
      </c>
      <c r="E185" s="73"/>
      <c r="G185" t="s">
        <v>4</v>
      </c>
      <c r="H185" s="20">
        <f t="shared" si="1"/>
        <v>1758.42642</v>
      </c>
      <c r="I185" s="20">
        <f t="shared" si="1"/>
        <v>586.14213999999993</v>
      </c>
      <c r="J185" s="20">
        <f t="shared" si="1"/>
        <v>130.25380888888887</v>
      </c>
    </row>
    <row r="186" spans="4:10" x14ac:dyDescent="0.35">
      <c r="E186" s="73"/>
      <c r="H186" s="20"/>
      <c r="I186" s="20"/>
      <c r="J186" s="20"/>
    </row>
    <row r="187" spans="4:10" x14ac:dyDescent="0.35">
      <c r="D187" t="s">
        <v>1135</v>
      </c>
      <c r="E187" s="73"/>
      <c r="G187" s="73" t="s">
        <v>1786</v>
      </c>
      <c r="H187" s="27">
        <f t="shared" ref="H187:J190" si="2">H182/H161</f>
        <v>0.91584709374999995</v>
      </c>
      <c r="I187" s="27">
        <f t="shared" si="2"/>
        <v>0.36633883750000001</v>
      </c>
      <c r="J187" s="27">
        <f t="shared" si="2"/>
        <v>0.3761179029774126</v>
      </c>
    </row>
    <row r="188" spans="4:10" x14ac:dyDescent="0.35">
      <c r="D188" t="s">
        <v>1136</v>
      </c>
      <c r="E188" s="73"/>
      <c r="G188" s="73" t="s">
        <v>1786</v>
      </c>
      <c r="H188" s="27">
        <f t="shared" si="2"/>
        <v>0.36633883750000001</v>
      </c>
      <c r="I188" s="27">
        <f t="shared" si="2"/>
        <v>0.18316941875000001</v>
      </c>
      <c r="J188" s="27">
        <f t="shared" si="2"/>
        <v>0.18316941875000001</v>
      </c>
    </row>
    <row r="189" spans="4:10" x14ac:dyDescent="0.35">
      <c r="D189" t="s">
        <v>1164</v>
      </c>
      <c r="E189" s="73"/>
      <c r="G189" s="73" t="s">
        <v>1786</v>
      </c>
      <c r="H189" s="27">
        <f t="shared" si="2"/>
        <v>0.73267767500000003</v>
      </c>
      <c r="I189" s="27">
        <f t="shared" si="2"/>
        <v>0.17584264199999999</v>
      </c>
      <c r="J189" s="27">
        <f t="shared" si="2"/>
        <v>0.17584264199999999</v>
      </c>
    </row>
    <row r="190" spans="4:10" x14ac:dyDescent="0.35">
      <c r="D190" t="s">
        <v>1257</v>
      </c>
      <c r="E190" s="73"/>
      <c r="G190" s="73" t="s">
        <v>1786</v>
      </c>
      <c r="H190" s="27">
        <f t="shared" si="2"/>
        <v>4.8845178333333337</v>
      </c>
      <c r="I190" s="27">
        <f t="shared" si="2"/>
        <v>3.6633883749999994</v>
      </c>
      <c r="J190" s="27">
        <f t="shared" si="2"/>
        <v>0.81408630555555539</v>
      </c>
    </row>
    <row r="191" spans="4:10" x14ac:dyDescent="0.35">
      <c r="E191" s="73"/>
      <c r="F191" s="15"/>
    </row>
    <row r="192" spans="4:10" x14ac:dyDescent="0.35">
      <c r="D192" t="s">
        <v>1151</v>
      </c>
      <c r="E192" s="73"/>
      <c r="F192" s="15"/>
      <c r="G192" t="s">
        <v>1143</v>
      </c>
      <c r="H192" s="48">
        <f>H180*24</f>
        <v>145.68562889699999</v>
      </c>
      <c r="I192" s="48">
        <f>I180*24</f>
        <v>53.681241749760005</v>
      </c>
      <c r="J192" s="48">
        <f>J180*24</f>
        <v>43.39050347117464</v>
      </c>
    </row>
    <row r="193" spans="2:10" x14ac:dyDescent="0.35">
      <c r="E193" s="73"/>
      <c r="F193" s="15"/>
      <c r="G193" t="s">
        <v>1127</v>
      </c>
      <c r="H193" s="48">
        <f>H192/ 0.000293</f>
        <v>497220.57644027297</v>
      </c>
      <c r="I193" s="48">
        <f>I192/ 0.000293</f>
        <v>183212.42918006825</v>
      </c>
      <c r="J193" s="48">
        <f>J192/ 0.000293</f>
        <v>148090.45553301924</v>
      </c>
    </row>
    <row r="194" spans="2:10" x14ac:dyDescent="0.35">
      <c r="E194" s="73"/>
      <c r="F194" s="15"/>
      <c r="H194" s="48"/>
      <c r="I194" s="48"/>
      <c r="J194" s="48"/>
    </row>
    <row r="195" spans="2:10" x14ac:dyDescent="0.35">
      <c r="D195" t="s">
        <v>1261</v>
      </c>
      <c r="E195" s="73"/>
      <c r="F195" s="15"/>
      <c r="G195" t="s">
        <v>1262</v>
      </c>
      <c r="H195" s="154">
        <f>365*H192</f>
        <v>53175.254547404998</v>
      </c>
      <c r="I195" s="154">
        <f>365*I192</f>
        <v>19593.653238662402</v>
      </c>
      <c r="J195" s="154">
        <f>365*J192</f>
        <v>15837.533766978744</v>
      </c>
    </row>
    <row r="196" spans="2:10" x14ac:dyDescent="0.35">
      <c r="D196" t="s">
        <v>1816</v>
      </c>
      <c r="E196" s="73"/>
      <c r="F196" s="15"/>
      <c r="G196" t="s">
        <v>1817</v>
      </c>
      <c r="H196" s="8">
        <v>0.22</v>
      </c>
      <c r="I196" s="8">
        <v>0.22</v>
      </c>
      <c r="J196" s="8">
        <v>0.22</v>
      </c>
    </row>
    <row r="197" spans="2:10" x14ac:dyDescent="0.35">
      <c r="D197" t="s">
        <v>1264</v>
      </c>
      <c r="E197" s="73"/>
      <c r="F197" s="15"/>
      <c r="G197" s="155" t="s">
        <v>1263</v>
      </c>
      <c r="H197" s="124">
        <f>H195*H196</f>
        <v>11698.5560004291</v>
      </c>
      <c r="I197" s="124">
        <f>I195*I196</f>
        <v>4310.6037125057283</v>
      </c>
      <c r="J197" s="124">
        <f>J195*J196</f>
        <v>3484.2574287353236</v>
      </c>
    </row>
    <row r="198" spans="2:10" x14ac:dyDescent="0.35">
      <c r="E198" s="73"/>
      <c r="F198" s="15"/>
      <c r="H198" s="150"/>
    </row>
    <row r="199" spans="2:10" x14ac:dyDescent="0.35">
      <c r="B199" t="s">
        <v>1139</v>
      </c>
      <c r="D199" t="s">
        <v>1139</v>
      </c>
      <c r="E199" s="73"/>
      <c r="F199" s="15"/>
      <c r="G199" t="s">
        <v>1142</v>
      </c>
      <c r="H199">
        <v>6</v>
      </c>
      <c r="I199">
        <v>30</v>
      </c>
      <c r="J199">
        <v>30</v>
      </c>
    </row>
    <row r="200" spans="2:10" x14ac:dyDescent="0.35">
      <c r="D200" t="s">
        <v>1144</v>
      </c>
      <c r="E200" s="73"/>
      <c r="F200" s="15"/>
      <c r="G200" t="s">
        <v>1134</v>
      </c>
      <c r="H200" s="20">
        <f>3412*H199</f>
        <v>20472</v>
      </c>
      <c r="I200" s="20">
        <f>3412*I199</f>
        <v>102360</v>
      </c>
      <c r="J200" s="20">
        <f>3412*J199</f>
        <v>102360</v>
      </c>
    </row>
    <row r="201" spans="2:10" x14ac:dyDescent="0.35">
      <c r="D201" t="s">
        <v>1145</v>
      </c>
      <c r="E201" s="73"/>
      <c r="F201" s="15"/>
      <c r="G201" t="s">
        <v>628</v>
      </c>
      <c r="H201">
        <v>4</v>
      </c>
      <c r="I201">
        <v>4</v>
      </c>
      <c r="J201">
        <v>4</v>
      </c>
    </row>
    <row r="202" spans="2:10" x14ac:dyDescent="0.35">
      <c r="D202" t="s">
        <v>1140</v>
      </c>
      <c r="E202" s="73"/>
      <c r="F202" s="15"/>
      <c r="G202" t="s">
        <v>1146</v>
      </c>
      <c r="H202">
        <f>H201*H199</f>
        <v>24</v>
      </c>
      <c r="I202">
        <f>I201*I199</f>
        <v>120</v>
      </c>
      <c r="J202">
        <f>J201*J199</f>
        <v>120</v>
      </c>
    </row>
    <row r="203" spans="2:10" x14ac:dyDescent="0.35">
      <c r="E203" s="73"/>
      <c r="F203" s="15"/>
      <c r="G203" t="s">
        <v>1152</v>
      </c>
      <c r="H203" s="48">
        <f>H202/ 0.000293</f>
        <v>81911.262798634809</v>
      </c>
      <c r="I203" s="48">
        <f>I202/ 0.000293</f>
        <v>409556.31399317406</v>
      </c>
      <c r="J203" s="48">
        <f>J202/ 0.000293</f>
        <v>409556.31399317406</v>
      </c>
    </row>
    <row r="204" spans="2:10" x14ac:dyDescent="0.35">
      <c r="E204" s="73"/>
      <c r="F204" s="15"/>
      <c r="H204" s="48"/>
      <c r="I204" s="48"/>
      <c r="J204" s="48"/>
    </row>
    <row r="205" spans="2:10" x14ac:dyDescent="0.35">
      <c r="B205" s="143" t="s">
        <v>1166</v>
      </c>
      <c r="E205" s="73"/>
      <c r="F205" s="15"/>
      <c r="G205" t="s">
        <v>1167</v>
      </c>
      <c r="H205" s="17">
        <f>H202/H192</f>
        <v>0.16473828051336514</v>
      </c>
      <c r="I205" s="17">
        <f>I202/I192</f>
        <v>2.2354177379016478</v>
      </c>
      <c r="J205" s="17">
        <f>J202/J192</f>
        <v>2.765582106686522</v>
      </c>
    </row>
    <row r="206" spans="2:10" x14ac:dyDescent="0.35">
      <c r="E206" s="73"/>
      <c r="F206" s="15"/>
    </row>
    <row r="207" spans="2:10" x14ac:dyDescent="0.35">
      <c r="B207" t="s">
        <v>1320</v>
      </c>
      <c r="E207" s="73"/>
      <c r="F207" s="15"/>
    </row>
    <row r="208" spans="2:10" x14ac:dyDescent="0.35">
      <c r="D208" t="s">
        <v>1160</v>
      </c>
      <c r="E208" s="73"/>
      <c r="F208" s="15"/>
      <c r="G208" t="s">
        <v>1147</v>
      </c>
      <c r="I208" s="53">
        <v>0.8</v>
      </c>
      <c r="J208" s="53">
        <v>0.8</v>
      </c>
    </row>
    <row r="209" spans="2:10" x14ac:dyDescent="0.35">
      <c r="D209" t="s">
        <v>1161</v>
      </c>
      <c r="E209" s="73"/>
      <c r="F209" s="15"/>
      <c r="G209" t="s">
        <v>1142</v>
      </c>
      <c r="I209">
        <f>I208*I199</f>
        <v>24</v>
      </c>
      <c r="J209">
        <f>J208*J199</f>
        <v>24</v>
      </c>
    </row>
    <row r="210" spans="2:10" x14ac:dyDescent="0.35">
      <c r="E210" s="73"/>
      <c r="F210" s="15"/>
      <c r="G210" t="s">
        <v>1134</v>
      </c>
      <c r="I210" s="20">
        <f>3412*I209</f>
        <v>81888</v>
      </c>
      <c r="J210" s="20">
        <f>3412*J209</f>
        <v>81888</v>
      </c>
    </row>
    <row r="211" spans="2:10" x14ac:dyDescent="0.35">
      <c r="D211" t="s">
        <v>1163</v>
      </c>
      <c r="E211" s="73"/>
      <c r="F211" s="1" t="s">
        <v>1148</v>
      </c>
      <c r="G211" t="s">
        <v>539</v>
      </c>
      <c r="I211" s="44">
        <f>I210/12000</f>
        <v>6.8239999999999998</v>
      </c>
      <c r="J211" s="44">
        <f>J210/12000</f>
        <v>6.8239999999999998</v>
      </c>
    </row>
    <row r="212" spans="2:10" x14ac:dyDescent="0.35">
      <c r="D212" t="s">
        <v>1162</v>
      </c>
      <c r="E212" s="73"/>
      <c r="F212" s="1"/>
      <c r="G212" t="s">
        <v>1143</v>
      </c>
      <c r="I212" s="48">
        <f>I209*I201</f>
        <v>96</v>
      </c>
      <c r="J212" s="48">
        <f>J209*J201</f>
        <v>96</v>
      </c>
    </row>
    <row r="213" spans="2:10" x14ac:dyDescent="0.35">
      <c r="E213" s="73"/>
      <c r="F213" s="1"/>
      <c r="H213" s="44"/>
      <c r="I213" s="44"/>
      <c r="J213" s="44"/>
    </row>
    <row r="214" spans="2:10" x14ac:dyDescent="0.35">
      <c r="B214" t="s">
        <v>1321</v>
      </c>
      <c r="E214" s="73"/>
      <c r="F214" s="15"/>
      <c r="G214" t="s">
        <v>1138</v>
      </c>
      <c r="I214">
        <f>24-I201</f>
        <v>20</v>
      </c>
      <c r="J214">
        <f>24-J201</f>
        <v>20</v>
      </c>
    </row>
    <row r="215" spans="2:10" x14ac:dyDescent="0.35">
      <c r="E215" s="73"/>
      <c r="F215" s="15"/>
    </row>
    <row r="216" spans="2:10" x14ac:dyDescent="0.35">
      <c r="B216" t="s">
        <v>1157</v>
      </c>
      <c r="E216" s="73"/>
      <c r="F216" s="1"/>
      <c r="G216" t="s">
        <v>1149</v>
      </c>
      <c r="I216" s="48">
        <v>500</v>
      </c>
      <c r="J216" s="48">
        <v>500</v>
      </c>
    </row>
    <row r="217" spans="2:10" x14ac:dyDescent="0.35">
      <c r="D217" t="s">
        <v>1173</v>
      </c>
      <c r="G217" t="s">
        <v>1124</v>
      </c>
      <c r="I217" s="148">
        <f>I212/(0.0024*I216)</f>
        <v>80</v>
      </c>
      <c r="J217" s="148">
        <f>J212/(0.0024*J216)</f>
        <v>80</v>
      </c>
    </row>
    <row r="218" spans="2:10" x14ac:dyDescent="0.35">
      <c r="D218" s="128" t="s">
        <v>1150</v>
      </c>
      <c r="F218" s="14" t="s">
        <v>1171</v>
      </c>
      <c r="G218" t="s">
        <v>1124</v>
      </c>
      <c r="I218" s="48">
        <v>80</v>
      </c>
      <c r="J218" s="48">
        <v>80</v>
      </c>
    </row>
    <row r="219" spans="2:10" x14ac:dyDescent="0.35">
      <c r="D219" t="s">
        <v>1170</v>
      </c>
      <c r="E219" s="73"/>
      <c r="F219" s="14" t="s">
        <v>1172</v>
      </c>
      <c r="G219" t="s">
        <v>1124</v>
      </c>
      <c r="I219" s="48">
        <f>I218+I217</f>
        <v>160</v>
      </c>
      <c r="J219" s="48">
        <f>J218+J217</f>
        <v>160</v>
      </c>
    </row>
    <row r="220" spans="2:10" x14ac:dyDescent="0.35">
      <c r="D220" t="s">
        <v>1174</v>
      </c>
      <c r="G220" t="s">
        <v>1143</v>
      </c>
      <c r="I220">
        <f>I216*I217*0.0024</f>
        <v>95.999999999999986</v>
      </c>
      <c r="J220">
        <f>J216*J217*0.0024</f>
        <v>95.999999999999986</v>
      </c>
    </row>
    <row r="221" spans="2:10" x14ac:dyDescent="0.35">
      <c r="G221" t="s">
        <v>1127</v>
      </c>
      <c r="I221" s="48">
        <f>I220/ 0.000293</f>
        <v>327645.05119453918</v>
      </c>
      <c r="J221" s="48">
        <f>J220/ 0.000293</f>
        <v>327645.05119453918</v>
      </c>
    </row>
    <row r="222" spans="2:10" x14ac:dyDescent="0.35">
      <c r="C222" s="73"/>
    </row>
    <row r="223" spans="2:10" x14ac:dyDescent="0.35">
      <c r="B223" t="s">
        <v>1178</v>
      </c>
      <c r="C223" s="73"/>
    </row>
    <row r="224" spans="2:10" x14ac:dyDescent="0.35">
      <c r="C224" s="73"/>
      <c r="D224" t="s">
        <v>1175</v>
      </c>
      <c r="G224" t="s">
        <v>1134</v>
      </c>
      <c r="H224" s="48">
        <f t="shared" ref="H224:J225" si="3">H179</f>
        <v>20712.5</v>
      </c>
      <c r="I224" s="48">
        <f t="shared" si="3"/>
        <v>7632</v>
      </c>
      <c r="J224" s="48">
        <f t="shared" si="3"/>
        <v>6168.9393109742177</v>
      </c>
    </row>
    <row r="225" spans="1:10" x14ac:dyDescent="0.35">
      <c r="C225" s="73"/>
      <c r="G225" t="s">
        <v>1142</v>
      </c>
      <c r="H225" s="54">
        <f t="shared" si="3"/>
        <v>6.0702345373749997</v>
      </c>
      <c r="I225" s="54">
        <f t="shared" si="3"/>
        <v>2.2367184062400001</v>
      </c>
      <c r="J225" s="54">
        <f t="shared" si="3"/>
        <v>1.8079376446322766</v>
      </c>
    </row>
    <row r="226" spans="1:10" x14ac:dyDescent="0.35">
      <c r="C226" s="73"/>
      <c r="D226" t="s">
        <v>1177</v>
      </c>
      <c r="G226" t="s">
        <v>1176</v>
      </c>
      <c r="H226" s="54"/>
      <c r="I226" s="54">
        <f>I217/I214</f>
        <v>4</v>
      </c>
      <c r="J226" s="54">
        <f>J217/J214</f>
        <v>4</v>
      </c>
    </row>
    <row r="227" spans="1:10" x14ac:dyDescent="0.35">
      <c r="C227" s="73"/>
      <c r="H227" s="54"/>
      <c r="I227" s="54"/>
    </row>
    <row r="228" spans="1:10" s="5" customFormat="1" x14ac:dyDescent="0.35">
      <c r="A228" s="86" t="s">
        <v>1204</v>
      </c>
    </row>
    <row r="229" spans="1:10" x14ac:dyDescent="0.35">
      <c r="C229" s="73"/>
      <c r="D229" s="15"/>
    </row>
    <row r="230" spans="1:10" x14ac:dyDescent="0.35">
      <c r="B230" t="s">
        <v>1205</v>
      </c>
      <c r="C230" s="73"/>
      <c r="D230" s="15" t="s">
        <v>1206</v>
      </c>
      <c r="G230" t="s">
        <v>351</v>
      </c>
      <c r="I230" s="31">
        <v>8</v>
      </c>
    </row>
    <row r="231" spans="1:10" x14ac:dyDescent="0.35">
      <c r="C231" s="73"/>
      <c r="D231" s="15" t="s">
        <v>1208</v>
      </c>
      <c r="G231" t="s">
        <v>351</v>
      </c>
      <c r="I231" s="31">
        <v>3</v>
      </c>
    </row>
    <row r="232" spans="1:10" x14ac:dyDescent="0.35">
      <c r="C232" s="73"/>
      <c r="D232" s="15" t="s">
        <v>1207</v>
      </c>
      <c r="G232" t="s">
        <v>520</v>
      </c>
      <c r="I232" s="31">
        <f>(I230*2*I231*3.14)+(2*3.314*(I231^2))</f>
        <v>210.37200000000001</v>
      </c>
    </row>
    <row r="233" spans="1:10" x14ac:dyDescent="0.35">
      <c r="C233" s="73"/>
      <c r="D233" s="15"/>
      <c r="I233" s="31"/>
    </row>
    <row r="234" spans="1:10" x14ac:dyDescent="0.35">
      <c r="B234" t="s">
        <v>1165</v>
      </c>
      <c r="C234" s="73"/>
      <c r="D234" s="15" t="s">
        <v>1209</v>
      </c>
      <c r="G234" t="s">
        <v>1124</v>
      </c>
      <c r="I234" s="31">
        <v>40</v>
      </c>
    </row>
    <row r="235" spans="1:10" x14ac:dyDescent="0.35">
      <c r="C235" s="73"/>
      <c r="D235" s="15" t="s">
        <v>1210</v>
      </c>
      <c r="G235" t="s">
        <v>1124</v>
      </c>
      <c r="I235" s="31">
        <f>I219</f>
        <v>160</v>
      </c>
    </row>
    <row r="236" spans="1:10" x14ac:dyDescent="0.35">
      <c r="C236" s="73"/>
      <c r="D236" s="15" t="s">
        <v>1211</v>
      </c>
      <c r="G236" t="s">
        <v>1124</v>
      </c>
      <c r="I236" s="31">
        <f>I235-I234</f>
        <v>120</v>
      </c>
    </row>
    <row r="237" spans="1:10" x14ac:dyDescent="0.35">
      <c r="C237" s="73"/>
      <c r="D237" s="15"/>
      <c r="I237" s="48"/>
    </row>
    <row r="238" spans="1:10" x14ac:dyDescent="0.35">
      <c r="B238" t="s">
        <v>177</v>
      </c>
      <c r="C238" s="73"/>
      <c r="D238" t="s">
        <v>1214</v>
      </c>
      <c r="G238" t="s">
        <v>1126</v>
      </c>
      <c r="I238" s="48">
        <v>19</v>
      </c>
    </row>
    <row r="239" spans="1:10" x14ac:dyDescent="0.35">
      <c r="C239" s="73"/>
      <c r="D239" s="15" t="s">
        <v>1216</v>
      </c>
      <c r="G239" t="s">
        <v>1217</v>
      </c>
      <c r="I239" s="48">
        <v>5</v>
      </c>
    </row>
    <row r="240" spans="1:10" x14ac:dyDescent="0.35">
      <c r="C240" s="73"/>
      <c r="D240" t="s">
        <v>1215</v>
      </c>
      <c r="G240" t="s">
        <v>983</v>
      </c>
      <c r="I240" s="48">
        <f>I239*I238</f>
        <v>95</v>
      </c>
    </row>
    <row r="241" spans="2:14" x14ac:dyDescent="0.35">
      <c r="C241" s="73"/>
    </row>
    <row r="242" spans="2:14" x14ac:dyDescent="0.35">
      <c r="C242" s="73"/>
      <c r="D242" s="15" t="s">
        <v>940</v>
      </c>
      <c r="G242" t="s">
        <v>1212</v>
      </c>
      <c r="I242" s="54">
        <f>I238/6</f>
        <v>3.1666666666666665</v>
      </c>
      <c r="L242" t="s">
        <v>1229</v>
      </c>
    </row>
    <row r="243" spans="2:14" x14ac:dyDescent="0.35">
      <c r="C243" s="73"/>
      <c r="D243" s="15" t="s">
        <v>1213</v>
      </c>
      <c r="I243" s="48">
        <f>I240/I242</f>
        <v>30</v>
      </c>
      <c r="M243" t="s">
        <v>1222</v>
      </c>
      <c r="N243" s="1" t="s">
        <v>1228</v>
      </c>
    </row>
    <row r="244" spans="2:14" x14ac:dyDescent="0.35">
      <c r="C244" s="73"/>
      <c r="D244" s="15"/>
      <c r="I244" s="48"/>
      <c r="M244" t="s">
        <v>1219</v>
      </c>
      <c r="N244" s="1" t="s">
        <v>1231</v>
      </c>
    </row>
    <row r="245" spans="2:14" x14ac:dyDescent="0.35">
      <c r="C245" s="73"/>
      <c r="D245" s="15" t="s">
        <v>1218</v>
      </c>
      <c r="I245" s="48">
        <f>I232*I239</f>
        <v>1051.8600000000001</v>
      </c>
      <c r="M245" s="14" t="s">
        <v>1233</v>
      </c>
      <c r="N245" s="1" t="s">
        <v>1232</v>
      </c>
    </row>
    <row r="246" spans="2:14" x14ac:dyDescent="0.35">
      <c r="C246" s="73"/>
      <c r="D246" s="15" t="s">
        <v>1012</v>
      </c>
      <c r="I246" s="8">
        <f>1144/853</f>
        <v>1.3411488862837047</v>
      </c>
      <c r="M246" s="8">
        <f>1144/853</f>
        <v>1.3411488862837047</v>
      </c>
      <c r="N246" t="s">
        <v>1234</v>
      </c>
    </row>
    <row r="247" spans="2:14" x14ac:dyDescent="0.35">
      <c r="C247" s="73"/>
      <c r="D247" s="15" t="s">
        <v>1220</v>
      </c>
      <c r="I247" s="34">
        <f>I246*I245</f>
        <v>1410.7008675263778</v>
      </c>
      <c r="L247" s="1"/>
    </row>
    <row r="248" spans="2:14" x14ac:dyDescent="0.35">
      <c r="C248" s="73"/>
      <c r="D248" s="15"/>
      <c r="I248" s="48"/>
      <c r="L248" t="s">
        <v>1230</v>
      </c>
    </row>
    <row r="249" spans="2:14" x14ac:dyDescent="0.35">
      <c r="B249" t="s">
        <v>1159</v>
      </c>
      <c r="C249" s="73"/>
      <c r="D249" s="15"/>
      <c r="G249" t="s">
        <v>1134</v>
      </c>
      <c r="I249" s="48">
        <f>I236*I232/I240</f>
        <v>265.73305263157897</v>
      </c>
      <c r="M249" t="s">
        <v>1222</v>
      </c>
      <c r="N249" s="1" t="s">
        <v>1221</v>
      </c>
    </row>
    <row r="250" spans="2:14" x14ac:dyDescent="0.35">
      <c r="C250" s="73"/>
      <c r="G250" t="s">
        <v>1142</v>
      </c>
      <c r="I250" s="27">
        <f>I249*0.00029307107</f>
        <v>7.7878670069103165E-2</v>
      </c>
      <c r="M250" t="s">
        <v>1219</v>
      </c>
      <c r="N250" s="1" t="s">
        <v>1223</v>
      </c>
    </row>
    <row r="251" spans="2:14" x14ac:dyDescent="0.35">
      <c r="C251" s="73"/>
      <c r="I251" s="27"/>
    </row>
    <row r="252" spans="2:14" x14ac:dyDescent="0.35">
      <c r="C252" s="73"/>
      <c r="D252" s="15" t="s">
        <v>1227</v>
      </c>
      <c r="G252" t="s">
        <v>628</v>
      </c>
      <c r="I252" s="48">
        <v>24</v>
      </c>
    </row>
    <row r="253" spans="2:14" x14ac:dyDescent="0.35">
      <c r="C253" s="73"/>
      <c r="D253" s="15" t="s">
        <v>1226</v>
      </c>
      <c r="G253" t="s">
        <v>1143</v>
      </c>
      <c r="I253" s="54">
        <f>I252*I250</f>
        <v>1.8690880816584761</v>
      </c>
    </row>
    <row r="254" spans="2:14" x14ac:dyDescent="0.35">
      <c r="C254" s="73"/>
      <c r="D254" s="15"/>
      <c r="I254" s="54"/>
    </row>
    <row r="255" spans="2:14" x14ac:dyDescent="0.35">
      <c r="C255" s="73"/>
      <c r="D255" s="15" t="s">
        <v>1224</v>
      </c>
      <c r="G255" t="s">
        <v>1225</v>
      </c>
      <c r="I255" s="124">
        <f>I253*365*0.15</f>
        <v>102.33257247080157</v>
      </c>
    </row>
    <row r="256" spans="2:14" x14ac:dyDescent="0.35">
      <c r="C256" s="73"/>
      <c r="D256" s="15"/>
    </row>
    <row r="258" spans="1:15" s="5" customFormat="1" x14ac:dyDescent="0.35">
      <c r="A258" s="86" t="s">
        <v>177</v>
      </c>
    </row>
    <row r="259" spans="1:15" s="2" customFormat="1" x14ac:dyDescent="0.35">
      <c r="A259" s="93"/>
    </row>
    <row r="260" spans="1:15" s="132" customFormat="1" ht="15" thickBot="1" x14ac:dyDescent="0.4">
      <c r="D260" s="133" t="s">
        <v>953</v>
      </c>
      <c r="E260" s="133" t="s">
        <v>954</v>
      </c>
      <c r="F260" s="134" t="s">
        <v>1043</v>
      </c>
      <c r="H260" s="133" t="s">
        <v>1039</v>
      </c>
      <c r="J260" s="134" t="str">
        <f>F260</f>
        <v>Polyisocyanurate (PIR)</v>
      </c>
    </row>
    <row r="261" spans="1:15" x14ac:dyDescent="0.35">
      <c r="B261" t="s">
        <v>939</v>
      </c>
    </row>
    <row r="262" spans="1:15" x14ac:dyDescent="0.35">
      <c r="B262" t="s">
        <v>940</v>
      </c>
      <c r="D262">
        <v>3.8</v>
      </c>
      <c r="E262">
        <f>7.5/1.5</f>
        <v>5</v>
      </c>
      <c r="F262">
        <v>6.5</v>
      </c>
      <c r="H262">
        <v>3.8</v>
      </c>
      <c r="J262">
        <v>6.5</v>
      </c>
      <c r="O262" t="s">
        <v>0</v>
      </c>
    </row>
    <row r="263" spans="1:15" x14ac:dyDescent="0.35">
      <c r="B263" t="s">
        <v>285</v>
      </c>
      <c r="D263">
        <v>4</v>
      </c>
      <c r="E263">
        <v>4</v>
      </c>
      <c r="F263">
        <v>4</v>
      </c>
      <c r="H263">
        <v>6</v>
      </c>
      <c r="J263">
        <v>6</v>
      </c>
    </row>
    <row r="264" spans="1:15" x14ac:dyDescent="0.35">
      <c r="B264" s="14" t="s">
        <v>998</v>
      </c>
      <c r="D264" s="15">
        <f>$D$151</f>
        <v>78.75</v>
      </c>
      <c r="E264" s="15">
        <f>$D$151</f>
        <v>78.75</v>
      </c>
      <c r="F264" s="15">
        <f>$D$151</f>
        <v>78.75</v>
      </c>
      <c r="H264" s="15">
        <f>$D$151</f>
        <v>78.75</v>
      </c>
      <c r="J264" s="15">
        <f>$D$151</f>
        <v>78.75</v>
      </c>
      <c r="L264" t="s">
        <v>1000</v>
      </c>
    </row>
    <row r="265" spans="1:15" x14ac:dyDescent="0.35">
      <c r="B265" s="14" t="s">
        <v>999</v>
      </c>
      <c r="D265" s="31">
        <f>D263*D264</f>
        <v>315</v>
      </c>
      <c r="E265" s="31">
        <f>E263*E264</f>
        <v>315</v>
      </c>
      <c r="F265" s="31">
        <f>F263*F264</f>
        <v>315</v>
      </c>
      <c r="H265" s="31">
        <f>H263*H264</f>
        <v>472.5</v>
      </c>
      <c r="J265" s="31">
        <f>J263*J264</f>
        <v>472.5</v>
      </c>
    </row>
    <row r="266" spans="1:15" x14ac:dyDescent="0.35">
      <c r="B266" t="s">
        <v>938</v>
      </c>
      <c r="D266">
        <f>D262*D263</f>
        <v>15.2</v>
      </c>
      <c r="E266">
        <f>E262*E263</f>
        <v>20</v>
      </c>
      <c r="F266">
        <f>F262*F263</f>
        <v>26</v>
      </c>
      <c r="H266">
        <f>H262*H263</f>
        <v>22.799999999999997</v>
      </c>
      <c r="J266">
        <f>J262*J263</f>
        <v>39</v>
      </c>
      <c r="L266" t="s">
        <v>1038</v>
      </c>
    </row>
    <row r="267" spans="1:15" x14ac:dyDescent="0.35">
      <c r="B267" t="s">
        <v>969</v>
      </c>
      <c r="D267" s="8">
        <v>15</v>
      </c>
      <c r="E267" s="8">
        <f>25/1.5</f>
        <v>16.666666666666668</v>
      </c>
      <c r="F267">
        <f>39/2</f>
        <v>19.5</v>
      </c>
      <c r="H267" s="8">
        <f>123/6</f>
        <v>20.5</v>
      </c>
      <c r="J267" s="8">
        <f>39/2</f>
        <v>19.5</v>
      </c>
      <c r="L267" s="1" t="s">
        <v>1037</v>
      </c>
    </row>
    <row r="268" spans="1:15" x14ac:dyDescent="0.35">
      <c r="B268" t="s">
        <v>1740</v>
      </c>
      <c r="D268" s="8">
        <f>D267/(4*8)</f>
        <v>0.46875</v>
      </c>
      <c r="E268" s="8">
        <f>E267/(4*8)</f>
        <v>0.52083333333333337</v>
      </c>
      <c r="F268" s="8">
        <f>F267/(4*8)</f>
        <v>0.609375</v>
      </c>
      <c r="H268" s="8">
        <f>H267/(4*8)</f>
        <v>0.640625</v>
      </c>
      <c r="J268" s="8">
        <f>J267/(4*8)</f>
        <v>0.609375</v>
      </c>
      <c r="L268" s="1"/>
    </row>
    <row r="269" spans="1:15" x14ac:dyDescent="0.35">
      <c r="B269" t="s">
        <v>970</v>
      </c>
      <c r="D269" s="131">
        <f>D267*D265</f>
        <v>4725</v>
      </c>
      <c r="E269" s="131">
        <f>E267*E265</f>
        <v>5250</v>
      </c>
      <c r="F269" s="131">
        <f>F267*F265</f>
        <v>6142.5</v>
      </c>
      <c r="H269" s="131">
        <f>H267*H265</f>
        <v>9686.25</v>
      </c>
      <c r="J269" s="131">
        <f>J267*J265</f>
        <v>9213.75</v>
      </c>
    </row>
    <row r="270" spans="1:15" x14ac:dyDescent="0.35">
      <c r="B270" t="s">
        <v>976</v>
      </c>
      <c r="D270" s="131">
        <f>D269/D266</f>
        <v>310.85526315789474</v>
      </c>
      <c r="E270" s="131">
        <f>E269/E266</f>
        <v>262.5</v>
      </c>
      <c r="F270" s="131">
        <f>F269/F266</f>
        <v>236.25</v>
      </c>
      <c r="H270" s="131">
        <f>H269/H266</f>
        <v>424.83552631578954</v>
      </c>
      <c r="J270" s="131">
        <f>J269/J266</f>
        <v>236.25</v>
      </c>
    </row>
    <row r="271" spans="1:15" x14ac:dyDescent="0.35">
      <c r="B271" t="s">
        <v>978</v>
      </c>
      <c r="D271" s="136" t="s">
        <v>1036</v>
      </c>
      <c r="E271" s="136" t="s">
        <v>968</v>
      </c>
      <c r="F271" s="136" t="s">
        <v>974</v>
      </c>
      <c r="G271" s="137" t="s">
        <v>0</v>
      </c>
      <c r="H271" s="136" t="s">
        <v>1036</v>
      </c>
      <c r="I271" t="s">
        <v>0</v>
      </c>
      <c r="J271" s="136" t="s">
        <v>974</v>
      </c>
      <c r="K271" s="137" t="s">
        <v>0</v>
      </c>
      <c r="L271" s="137"/>
      <c r="M271" s="137"/>
      <c r="N271" s="135"/>
      <c r="O271" s="135"/>
    </row>
    <row r="273" spans="1:13" s="5" customFormat="1" x14ac:dyDescent="0.35">
      <c r="A273" s="86" t="s">
        <v>979</v>
      </c>
    </row>
    <row r="274" spans="1:13" s="2" customFormat="1" x14ac:dyDescent="0.35">
      <c r="A274" s="93"/>
    </row>
    <row r="275" spans="1:13" x14ac:dyDescent="0.35">
      <c r="E275" t="s">
        <v>983</v>
      </c>
      <c r="H275" t="s">
        <v>985</v>
      </c>
      <c r="J275" t="s">
        <v>984</v>
      </c>
    </row>
    <row r="276" spans="1:13" x14ac:dyDescent="0.35">
      <c r="B276" t="s">
        <v>980</v>
      </c>
      <c r="E276" t="s">
        <v>981</v>
      </c>
      <c r="M276" s="1" t="s">
        <v>915</v>
      </c>
    </row>
    <row r="277" spans="1:13" x14ac:dyDescent="0.35">
      <c r="B277" t="s">
        <v>982</v>
      </c>
      <c r="E277" t="s">
        <v>986</v>
      </c>
      <c r="H277" s="129">
        <f>F269</f>
        <v>6142.5</v>
      </c>
      <c r="J277">
        <f>5.5+4</f>
        <v>9.5</v>
      </c>
    </row>
    <row r="278" spans="1:13" x14ac:dyDescent="0.35">
      <c r="H278" s="129"/>
    </row>
    <row r="279" spans="1:13" s="5" customFormat="1" x14ac:dyDescent="0.35">
      <c r="A279" s="86" t="s">
        <v>1179</v>
      </c>
    </row>
    <row r="280" spans="1:13" x14ac:dyDescent="0.35">
      <c r="H280" s="129"/>
    </row>
    <row r="281" spans="1:13" x14ac:dyDescent="0.35">
      <c r="B281" t="s">
        <v>1182</v>
      </c>
      <c r="E281" t="s">
        <v>1183</v>
      </c>
      <c r="F281">
        <v>38</v>
      </c>
    </row>
    <row r="282" spans="1:13" x14ac:dyDescent="0.35">
      <c r="B282" s="53"/>
      <c r="E282" t="s">
        <v>1184</v>
      </c>
      <c r="F282">
        <f>(F281*0.9) + (1*0.1)</f>
        <v>34.300000000000004</v>
      </c>
      <c r="H282" s="129"/>
    </row>
    <row r="283" spans="1:13" x14ac:dyDescent="0.35">
      <c r="E283" t="s">
        <v>520</v>
      </c>
      <c r="F283">
        <f>D148</f>
        <v>1200</v>
      </c>
      <c r="H283" s="129"/>
    </row>
    <row r="284" spans="1:13" x14ac:dyDescent="0.35">
      <c r="E284" t="s">
        <v>1181</v>
      </c>
      <c r="F284" s="10">
        <f>770/512</f>
        <v>1.50390625</v>
      </c>
      <c r="I284" s="1" t="s">
        <v>1180</v>
      </c>
    </row>
    <row r="285" spans="1:13" x14ac:dyDescent="0.35">
      <c r="E285" t="s">
        <v>1063</v>
      </c>
      <c r="F285" s="34">
        <f>F284*F283</f>
        <v>1804.6875</v>
      </c>
      <c r="I285" s="1"/>
    </row>
    <row r="286" spans="1:13" x14ac:dyDescent="0.35">
      <c r="F286" s="34"/>
      <c r="I286" s="1"/>
    </row>
    <row r="287" spans="1:13" x14ac:dyDescent="0.35">
      <c r="B287" t="s">
        <v>1186</v>
      </c>
      <c r="E287" t="s">
        <v>1185</v>
      </c>
      <c r="F287" s="20">
        <f>2*F262</f>
        <v>13</v>
      </c>
      <c r="I287" s="1"/>
    </row>
    <row r="288" spans="1:13" x14ac:dyDescent="0.35">
      <c r="E288" t="s">
        <v>1181</v>
      </c>
      <c r="F288" s="30">
        <f>F267/32</f>
        <v>0.609375</v>
      </c>
      <c r="I288" s="1" t="s">
        <v>974</v>
      </c>
    </row>
    <row r="289" spans="1:23" x14ac:dyDescent="0.35">
      <c r="E289" t="s">
        <v>1063</v>
      </c>
      <c r="F289" s="34">
        <f>F288*F283</f>
        <v>731.25</v>
      </c>
      <c r="I289" s="1"/>
    </row>
    <row r="290" spans="1:23" x14ac:dyDescent="0.35">
      <c r="F290" s="34"/>
      <c r="I290" s="1"/>
    </row>
    <row r="291" spans="1:23" x14ac:dyDescent="0.35">
      <c r="B291" t="s">
        <v>970</v>
      </c>
      <c r="E291" t="s">
        <v>983</v>
      </c>
      <c r="F291" s="20">
        <f>F281+F287</f>
        <v>51</v>
      </c>
      <c r="I291" s="1"/>
    </row>
    <row r="292" spans="1:23" x14ac:dyDescent="0.35">
      <c r="E292" t="s">
        <v>1063</v>
      </c>
      <c r="F292" s="34">
        <f>F289+F285</f>
        <v>2535.9375</v>
      </c>
      <c r="I292" s="1"/>
    </row>
    <row r="293" spans="1:23" x14ac:dyDescent="0.35">
      <c r="F293" s="34"/>
      <c r="I293" s="1"/>
    </row>
    <row r="294" spans="1:23" s="5" customFormat="1" x14ac:dyDescent="0.35">
      <c r="A294" s="86" t="s">
        <v>208</v>
      </c>
    </row>
    <row r="295" spans="1:23" x14ac:dyDescent="0.35">
      <c r="F295" s="34"/>
      <c r="I295" s="1"/>
    </row>
    <row r="296" spans="1:23" x14ac:dyDescent="0.35">
      <c r="B296" s="83" t="s">
        <v>1383</v>
      </c>
      <c r="E296" t="s">
        <v>0</v>
      </c>
      <c r="F296" s="34"/>
      <c r="I296" s="1"/>
    </row>
    <row r="297" spans="1:23" ht="36" customHeight="1" x14ac:dyDescent="0.35">
      <c r="B297" s="83"/>
      <c r="D297" s="4"/>
      <c r="E297" s="4"/>
      <c r="F297" s="126" t="s">
        <v>1387</v>
      </c>
      <c r="G297" s="126" t="s">
        <v>1392</v>
      </c>
      <c r="I297" s="126" t="s">
        <v>1372</v>
      </c>
      <c r="K297" s="126" t="s">
        <v>1380</v>
      </c>
      <c r="L297" s="126" t="s">
        <v>1381</v>
      </c>
      <c r="P297" s="89"/>
    </row>
    <row r="298" spans="1:23" x14ac:dyDescent="0.35">
      <c r="B298" s="83"/>
      <c r="D298" t="s">
        <v>1373</v>
      </c>
      <c r="F298">
        <v>1005</v>
      </c>
      <c r="G298" s="12">
        <f>F298*0.000429922613929492</f>
        <v>0.43207222699913944</v>
      </c>
      <c r="I298">
        <v>2.5999999999999999E-2</v>
      </c>
      <c r="K298">
        <v>1.2</v>
      </c>
      <c r="L298" s="12">
        <f>0.062428*K298</f>
        <v>7.4913599999999997E-2</v>
      </c>
      <c r="P298" s="89"/>
    </row>
    <row r="299" spans="1:23" x14ac:dyDescent="0.35">
      <c r="D299" t="s">
        <v>1384</v>
      </c>
      <c r="K299">
        <v>700</v>
      </c>
      <c r="L299" s="12">
        <f>0.062428*K299</f>
        <v>43.699599999999997</v>
      </c>
      <c r="P299" s="89"/>
    </row>
    <row r="300" spans="1:23" x14ac:dyDescent="0.35">
      <c r="D300" t="s">
        <v>1407</v>
      </c>
      <c r="I300" s="10">
        <v>0.2</v>
      </c>
      <c r="L300" s="12"/>
      <c r="P300" s="89"/>
      <c r="U300" s="1"/>
    </row>
    <row r="301" spans="1:23" x14ac:dyDescent="0.35">
      <c r="D301" t="s">
        <v>1414</v>
      </c>
      <c r="I301" s="10">
        <v>0.03</v>
      </c>
      <c r="L301" s="12"/>
      <c r="P301" s="89"/>
      <c r="U301" s="1"/>
    </row>
    <row r="302" spans="1:23" x14ac:dyDescent="0.35">
      <c r="D302" t="s">
        <v>1422</v>
      </c>
      <c r="I302" s="10">
        <v>0.1</v>
      </c>
      <c r="L302" s="12"/>
      <c r="N302" t="s">
        <v>1423</v>
      </c>
      <c r="P302" s="89"/>
      <c r="S302" t="s">
        <v>0</v>
      </c>
      <c r="U302" s="1"/>
    </row>
    <row r="303" spans="1:23" x14ac:dyDescent="0.35">
      <c r="I303" s="10"/>
      <c r="L303" s="12"/>
      <c r="P303" s="89"/>
      <c r="T303" t="s">
        <v>0</v>
      </c>
      <c r="U303" t="s">
        <v>0</v>
      </c>
      <c r="V303" t="s">
        <v>0</v>
      </c>
      <c r="W303" t="s">
        <v>0</v>
      </c>
    </row>
    <row r="304" spans="1:23" x14ac:dyDescent="0.35">
      <c r="B304" s="83" t="s">
        <v>1377</v>
      </c>
      <c r="L304" s="12"/>
      <c r="P304" s="89"/>
      <c r="T304" t="s">
        <v>0</v>
      </c>
      <c r="U304" t="s">
        <v>0</v>
      </c>
      <c r="V304" t="s">
        <v>0</v>
      </c>
      <c r="W304" t="s">
        <v>0</v>
      </c>
    </row>
    <row r="305" spans="2:23" x14ac:dyDescent="0.35">
      <c r="D305" t="s">
        <v>1376</v>
      </c>
      <c r="G305" s="1" t="s">
        <v>1375</v>
      </c>
      <c r="I305" s="1"/>
      <c r="P305" s="89"/>
      <c r="T305" t="s">
        <v>0</v>
      </c>
      <c r="U305" t="s">
        <v>0</v>
      </c>
      <c r="V305" t="s">
        <v>0</v>
      </c>
      <c r="W305" t="s">
        <v>0</v>
      </c>
    </row>
    <row r="306" spans="2:23" x14ac:dyDescent="0.35">
      <c r="F306" s="34"/>
      <c r="G306" s="1" t="s">
        <v>1406</v>
      </c>
      <c r="I306" s="1"/>
      <c r="P306" s="89"/>
      <c r="T306" t="s">
        <v>0</v>
      </c>
      <c r="U306" t="s">
        <v>0</v>
      </c>
      <c r="V306" t="s">
        <v>0</v>
      </c>
      <c r="W306" t="s">
        <v>0</v>
      </c>
    </row>
    <row r="307" spans="2:23" x14ac:dyDescent="0.35">
      <c r="G307" s="1" t="s">
        <v>176</v>
      </c>
      <c r="I307" s="1"/>
      <c r="P307" s="89"/>
      <c r="T307" t="s">
        <v>0</v>
      </c>
      <c r="U307" t="s">
        <v>0</v>
      </c>
      <c r="V307" t="s">
        <v>0</v>
      </c>
      <c r="W307" t="s">
        <v>0</v>
      </c>
    </row>
    <row r="308" spans="2:23" x14ac:dyDescent="0.35">
      <c r="G308" s="1"/>
      <c r="I308" s="1"/>
      <c r="P308" s="89"/>
      <c r="T308" t="s">
        <v>0</v>
      </c>
      <c r="U308" t="s">
        <v>0</v>
      </c>
      <c r="V308" t="s">
        <v>0</v>
      </c>
      <c r="W308" t="s">
        <v>0</v>
      </c>
    </row>
    <row r="309" spans="2:23" x14ac:dyDescent="0.35">
      <c r="B309" s="83" t="s">
        <v>1429</v>
      </c>
      <c r="F309" s="34"/>
      <c r="G309" s="1"/>
      <c r="I309" s="1"/>
      <c r="P309" s="89"/>
      <c r="U309" s="1"/>
    </row>
    <row r="310" spans="2:23" x14ac:dyDescent="0.35">
      <c r="D310" t="s">
        <v>1408</v>
      </c>
      <c r="E310" s="73" t="s">
        <v>0</v>
      </c>
      <c r="G310" s="73" t="s">
        <v>1270</v>
      </c>
      <c r="H310" s="10">
        <v>0.5</v>
      </c>
      <c r="J310" s="1"/>
      <c r="P310" s="89"/>
      <c r="U310" s="1"/>
    </row>
    <row r="311" spans="2:23" x14ac:dyDescent="0.35">
      <c r="D311" t="s">
        <v>1409</v>
      </c>
      <c r="G311" s="73" t="s">
        <v>1270</v>
      </c>
      <c r="H311" s="10">
        <v>0.01</v>
      </c>
      <c r="J311" s="1"/>
      <c r="P311" s="89"/>
      <c r="U311" s="1"/>
    </row>
    <row r="312" spans="2:23" x14ac:dyDescent="0.35">
      <c r="D312" t="s">
        <v>1410</v>
      </c>
      <c r="G312" s="73"/>
      <c r="H312" s="13">
        <f>(H310*H310) / (2*H310*H311)</f>
        <v>25</v>
      </c>
      <c r="J312" s="1"/>
      <c r="P312" s="89"/>
      <c r="U312" s="1"/>
    </row>
    <row r="313" spans="2:23" x14ac:dyDescent="0.35">
      <c r="G313" s="73"/>
      <c r="J313" s="1"/>
      <c r="P313" s="89"/>
      <c r="U313" s="1"/>
    </row>
    <row r="314" spans="2:23" x14ac:dyDescent="0.35">
      <c r="D314" t="s">
        <v>1411</v>
      </c>
      <c r="G314" s="73" t="s">
        <v>1412</v>
      </c>
      <c r="H314">
        <f>I298</f>
        <v>2.5999999999999999E-2</v>
      </c>
      <c r="J314" s="1"/>
      <c r="P314" s="89"/>
      <c r="U314" s="1"/>
    </row>
    <row r="315" spans="2:23" x14ac:dyDescent="0.35">
      <c r="D315" t="s">
        <v>1424</v>
      </c>
      <c r="G315" s="73" t="s">
        <v>1412</v>
      </c>
      <c r="H315" s="12">
        <f>I302</f>
        <v>0.1</v>
      </c>
      <c r="J315" s="1"/>
      <c r="P315" s="89"/>
      <c r="U315" s="1"/>
    </row>
    <row r="316" spans="2:23" x14ac:dyDescent="0.35">
      <c r="D316" t="s">
        <v>1417</v>
      </c>
      <c r="G316" s="73"/>
      <c r="H316" s="13">
        <f>H315/H314</f>
        <v>3.8461538461538467</v>
      </c>
      <c r="J316" s="1"/>
      <c r="P316" s="89"/>
      <c r="U316" s="1"/>
    </row>
    <row r="317" spans="2:23" x14ac:dyDescent="0.35">
      <c r="G317" s="73"/>
      <c r="J317" s="1"/>
      <c r="P317" s="89"/>
      <c r="U317" s="1"/>
    </row>
    <row r="318" spans="2:23" x14ac:dyDescent="0.35">
      <c r="D318" t="s">
        <v>1413</v>
      </c>
      <c r="F318" s="34"/>
      <c r="G318" s="1"/>
      <c r="H318" s="13">
        <f>H312/H316</f>
        <v>6.4999999999999991</v>
      </c>
      <c r="I318" s="1"/>
      <c r="J318" t="s">
        <v>1428</v>
      </c>
      <c r="P318" s="89"/>
      <c r="U318" s="1"/>
    </row>
    <row r="319" spans="2:23" x14ac:dyDescent="0.35">
      <c r="F319" s="34"/>
      <c r="G319" s="1"/>
      <c r="H319" s="13"/>
      <c r="I319" s="1"/>
      <c r="P319" s="89"/>
      <c r="U319" s="1"/>
    </row>
    <row r="320" spans="2:23" x14ac:dyDescent="0.35">
      <c r="B320" s="83" t="s">
        <v>1415</v>
      </c>
      <c r="F320" s="34"/>
      <c r="G320" s="1"/>
      <c r="H320" s="13"/>
      <c r="I320" s="1"/>
      <c r="P320" s="89"/>
      <c r="U320" s="1"/>
    </row>
    <row r="321" spans="1:21" x14ac:dyDescent="0.35">
      <c r="D321" t="s">
        <v>1416</v>
      </c>
      <c r="F321" s="34"/>
      <c r="G321" s="73" t="s">
        <v>1270</v>
      </c>
      <c r="H321" s="15">
        <v>25</v>
      </c>
      <c r="I321" s="1"/>
      <c r="J321" t="s">
        <v>1420</v>
      </c>
      <c r="P321" s="89"/>
      <c r="U321" s="1"/>
    </row>
    <row r="322" spans="1:21" x14ac:dyDescent="0.35">
      <c r="D322" t="s">
        <v>1418</v>
      </c>
      <c r="F322" s="34"/>
      <c r="G322" s="73"/>
      <c r="H322" s="13">
        <f>I301/I298</f>
        <v>1.153846153846154</v>
      </c>
      <c r="I322" s="1"/>
      <c r="P322" s="89"/>
      <c r="U322" s="1"/>
    </row>
    <row r="323" spans="1:21" x14ac:dyDescent="0.35">
      <c r="D323" t="s">
        <v>1419</v>
      </c>
      <c r="F323" s="34"/>
      <c r="G323" s="73"/>
      <c r="H323" s="13">
        <f>H321/H322</f>
        <v>21.666666666666664</v>
      </c>
      <c r="I323" s="1"/>
      <c r="J323" t="s">
        <v>1421</v>
      </c>
      <c r="P323" s="89"/>
      <c r="U323" s="1"/>
    </row>
    <row r="324" spans="1:21" x14ac:dyDescent="0.35">
      <c r="F324" s="34"/>
      <c r="G324" s="73"/>
      <c r="H324" s="13"/>
      <c r="I324" s="1"/>
      <c r="P324" s="89"/>
      <c r="U324" s="1"/>
    </row>
    <row r="325" spans="1:21" x14ac:dyDescent="0.35">
      <c r="B325" s="83" t="s">
        <v>1425</v>
      </c>
      <c r="F325" s="34"/>
      <c r="G325" s="73"/>
      <c r="H325" s="13"/>
      <c r="I325" s="1"/>
      <c r="P325" s="89"/>
      <c r="U325" s="1"/>
    </row>
    <row r="326" spans="1:21" x14ac:dyDescent="0.35">
      <c r="D326" t="s">
        <v>1427</v>
      </c>
      <c r="F326" s="34"/>
      <c r="G326" s="73"/>
      <c r="H326" s="13"/>
      <c r="I326" s="1"/>
      <c r="J326" s="1" t="s">
        <v>1406</v>
      </c>
      <c r="P326" s="89"/>
      <c r="U326" s="1"/>
    </row>
    <row r="327" spans="1:21" x14ac:dyDescent="0.35">
      <c r="E327" t="s">
        <v>1426</v>
      </c>
      <c r="F327" s="34"/>
      <c r="G327" s="73"/>
      <c r="H327" s="10"/>
      <c r="I327" s="1"/>
      <c r="P327" s="89"/>
      <c r="U327" s="1"/>
    </row>
    <row r="328" spans="1:21" x14ac:dyDescent="0.35">
      <c r="F328" s="34"/>
      <c r="G328" s="73"/>
      <c r="H328" s="10"/>
      <c r="I328" s="1"/>
      <c r="P328" s="89"/>
      <c r="U328" s="1"/>
    </row>
    <row r="330" spans="1:21" s="5" customFormat="1" x14ac:dyDescent="0.35">
      <c r="A330" s="86" t="s">
        <v>991</v>
      </c>
    </row>
    <row r="332" spans="1:21" x14ac:dyDescent="0.35">
      <c r="B332" t="s">
        <v>932</v>
      </c>
      <c r="C332" t="s">
        <v>351</v>
      </c>
      <c r="D332">
        <v>40</v>
      </c>
    </row>
    <row r="333" spans="1:21" x14ac:dyDescent="0.35">
      <c r="B333" t="s">
        <v>933</v>
      </c>
      <c r="C333" t="s">
        <v>351</v>
      </c>
      <c r="D333">
        <v>60</v>
      </c>
    </row>
    <row r="334" spans="1:21" x14ac:dyDescent="0.35">
      <c r="B334" t="s">
        <v>355</v>
      </c>
      <c r="C334" t="s">
        <v>351</v>
      </c>
      <c r="D334">
        <v>20</v>
      </c>
    </row>
    <row r="336" spans="1:21" x14ac:dyDescent="0.35">
      <c r="B336" t="s">
        <v>992</v>
      </c>
      <c r="C336" t="s">
        <v>993</v>
      </c>
      <c r="D336" s="31">
        <f>D334*D333*D332</f>
        <v>48000</v>
      </c>
    </row>
    <row r="337" spans="1:11" x14ac:dyDescent="0.35">
      <c r="C337" t="s">
        <v>994</v>
      </c>
      <c r="D337" s="15">
        <f>D336/27</f>
        <v>1777.7777777777778</v>
      </c>
    </row>
    <row r="339" spans="1:11" x14ac:dyDescent="0.35">
      <c r="B339" t="s">
        <v>996</v>
      </c>
    </row>
    <row r="340" spans="1:11" x14ac:dyDescent="0.35">
      <c r="C340" t="s">
        <v>997</v>
      </c>
      <c r="D340" s="8">
        <v>30</v>
      </c>
      <c r="F340" s="1" t="s">
        <v>995</v>
      </c>
      <c r="G340" t="s">
        <v>0</v>
      </c>
    </row>
    <row r="341" spans="1:11" x14ac:dyDescent="0.35">
      <c r="C341" t="s">
        <v>507</v>
      </c>
      <c r="D341" s="110">
        <f>D340*D337</f>
        <v>53333.333333333336</v>
      </c>
    </row>
    <row r="343" spans="1:11" s="5" customFormat="1" x14ac:dyDescent="0.35">
      <c r="A343" s="86" t="s">
        <v>1014</v>
      </c>
    </row>
    <row r="345" spans="1:11" x14ac:dyDescent="0.35">
      <c r="B345" t="s">
        <v>1015</v>
      </c>
      <c r="D345" t="s">
        <v>1002</v>
      </c>
      <c r="K345" s="1" t="s">
        <v>1001</v>
      </c>
    </row>
    <row r="346" spans="1:11" x14ac:dyDescent="0.35">
      <c r="D346" t="s">
        <v>1004</v>
      </c>
      <c r="H346" t="s">
        <v>1005</v>
      </c>
      <c r="K346" s="1" t="s">
        <v>1003</v>
      </c>
    </row>
    <row r="347" spans="1:11" x14ac:dyDescent="0.35">
      <c r="D347" t="s">
        <v>1021</v>
      </c>
      <c r="K347" s="1" t="s">
        <v>1020</v>
      </c>
    </row>
    <row r="348" spans="1:11" x14ac:dyDescent="0.35">
      <c r="D348" t="s">
        <v>1023</v>
      </c>
      <c r="K348" s="1" t="s">
        <v>1022</v>
      </c>
    </row>
    <row r="349" spans="1:11" x14ac:dyDescent="0.35">
      <c r="D349" t="s">
        <v>1025</v>
      </c>
      <c r="K349" s="1" t="s">
        <v>1024</v>
      </c>
    </row>
    <row r="350" spans="1:11" x14ac:dyDescent="0.35">
      <c r="D350" t="s">
        <v>1030</v>
      </c>
      <c r="K350" s="1" t="s">
        <v>1029</v>
      </c>
    </row>
    <row r="351" spans="1:11" x14ac:dyDescent="0.35">
      <c r="D351" t="s">
        <v>1033</v>
      </c>
      <c r="K351" s="1" t="s">
        <v>1032</v>
      </c>
    </row>
    <row r="352" spans="1:11" x14ac:dyDescent="0.35">
      <c r="K352" s="1"/>
    </row>
    <row r="353" spans="2:11" x14ac:dyDescent="0.35">
      <c r="K353" s="1"/>
    </row>
    <row r="354" spans="2:11" x14ac:dyDescent="0.35">
      <c r="K354" s="1"/>
    </row>
    <row r="355" spans="2:11" x14ac:dyDescent="0.35">
      <c r="B355" t="s">
        <v>1006</v>
      </c>
      <c r="D355" t="s">
        <v>1007</v>
      </c>
      <c r="E355" t="s">
        <v>353</v>
      </c>
      <c r="F355" t="s">
        <v>351</v>
      </c>
      <c r="G355">
        <v>15</v>
      </c>
    </row>
    <row r="356" spans="2:11" x14ac:dyDescent="0.35">
      <c r="E356" t="s">
        <v>37</v>
      </c>
      <c r="F356" t="s">
        <v>351</v>
      </c>
      <c r="G356">
        <v>10</v>
      </c>
    </row>
    <row r="357" spans="2:11" x14ac:dyDescent="0.35">
      <c r="E357" t="s">
        <v>1008</v>
      </c>
      <c r="F357" t="s">
        <v>351</v>
      </c>
      <c r="G357">
        <v>8</v>
      </c>
    </row>
    <row r="359" spans="2:11" x14ac:dyDescent="0.35">
      <c r="E359" t="s">
        <v>507</v>
      </c>
      <c r="F359" t="s">
        <v>520</v>
      </c>
      <c r="G359" s="31">
        <f>G357*G356*G355</f>
        <v>1200</v>
      </c>
    </row>
    <row r="361" spans="2:11" x14ac:dyDescent="0.35">
      <c r="D361" t="s">
        <v>1009</v>
      </c>
      <c r="F361" t="s">
        <v>520</v>
      </c>
      <c r="G361">
        <f>2*G356*G355</f>
        <v>300</v>
      </c>
    </row>
    <row r="363" spans="2:11" x14ac:dyDescent="0.35">
      <c r="D363" t="s">
        <v>1010</v>
      </c>
      <c r="F363" t="s">
        <v>520</v>
      </c>
      <c r="G363" s="31">
        <f>G361+G359</f>
        <v>1500</v>
      </c>
    </row>
    <row r="366" spans="2:11" x14ac:dyDescent="0.35">
      <c r="B366" t="s">
        <v>1016</v>
      </c>
    </row>
    <row r="368" spans="2:11" x14ac:dyDescent="0.35">
      <c r="D368" t="s">
        <v>1011</v>
      </c>
    </row>
    <row r="369" spans="2:11" x14ac:dyDescent="0.35">
      <c r="E369" t="s">
        <v>1012</v>
      </c>
      <c r="G369" s="8">
        <f>142/250</f>
        <v>0.56799999999999995</v>
      </c>
    </row>
    <row r="370" spans="2:11" x14ac:dyDescent="0.35">
      <c r="E370" t="s">
        <v>1013</v>
      </c>
      <c r="G370" s="124">
        <f>G369*2000</f>
        <v>1136</v>
      </c>
    </row>
    <row r="372" spans="2:11" x14ac:dyDescent="0.35">
      <c r="B372" t="s">
        <v>1018</v>
      </c>
    </row>
    <row r="373" spans="2:11" x14ac:dyDescent="0.35">
      <c r="D373" t="s">
        <v>1017</v>
      </c>
      <c r="E373" t="s">
        <v>353</v>
      </c>
      <c r="F373" t="s">
        <v>351</v>
      </c>
      <c r="G373">
        <v>15</v>
      </c>
    </row>
    <row r="374" spans="2:11" x14ac:dyDescent="0.35">
      <c r="E374" t="s">
        <v>1008</v>
      </c>
      <c r="F374" t="s">
        <v>351</v>
      </c>
      <c r="G374">
        <v>8</v>
      </c>
    </row>
    <row r="375" spans="2:11" x14ac:dyDescent="0.35">
      <c r="E375" t="s">
        <v>507</v>
      </c>
      <c r="F375" t="s">
        <v>520</v>
      </c>
      <c r="G375" s="31">
        <f>G374*G373</f>
        <v>120</v>
      </c>
    </row>
    <row r="377" spans="2:11" x14ac:dyDescent="0.35">
      <c r="D377" t="s">
        <v>1019</v>
      </c>
      <c r="G377" s="54">
        <f>G375/32</f>
        <v>3.75</v>
      </c>
    </row>
    <row r="379" spans="2:11" x14ac:dyDescent="0.35">
      <c r="D379" t="s">
        <v>1027</v>
      </c>
    </row>
    <row r="380" spans="2:11" x14ac:dyDescent="0.35">
      <c r="D380" t="s">
        <v>1031</v>
      </c>
    </row>
    <row r="381" spans="2:11" x14ac:dyDescent="0.35">
      <c r="E381" t="s">
        <v>1012</v>
      </c>
      <c r="G381" s="124">
        <f>21/7</f>
        <v>3</v>
      </c>
      <c r="K381" s="1" t="s">
        <v>1026</v>
      </c>
    </row>
    <row r="382" spans="2:11" x14ac:dyDescent="0.35">
      <c r="E382" t="s">
        <v>1028</v>
      </c>
      <c r="G382" s="124">
        <f>G381*G375</f>
        <v>360</v>
      </c>
    </row>
    <row r="384" spans="2:11" x14ac:dyDescent="0.35">
      <c r="D384" t="s">
        <v>1035</v>
      </c>
      <c r="K384" s="1" t="s">
        <v>1034</v>
      </c>
    </row>
    <row r="385" spans="1:11" x14ac:dyDescent="0.35">
      <c r="E385" t="s">
        <v>1012</v>
      </c>
      <c r="G385" s="12">
        <f>60/8</f>
        <v>7.5</v>
      </c>
    </row>
    <row r="386" spans="1:11" x14ac:dyDescent="0.35">
      <c r="E386" t="s">
        <v>1028</v>
      </c>
      <c r="G386" s="124">
        <f>G385*G375</f>
        <v>900</v>
      </c>
    </row>
    <row r="388" spans="1:11" s="5" customFormat="1" x14ac:dyDescent="0.35">
      <c r="A388" s="86" t="s">
        <v>1061</v>
      </c>
    </row>
    <row r="390" spans="1:11" x14ac:dyDescent="0.35">
      <c r="C390" t="s">
        <v>1064</v>
      </c>
      <c r="E390" t="s">
        <v>353</v>
      </c>
      <c r="F390" t="s">
        <v>351</v>
      </c>
      <c r="G390">
        <v>30</v>
      </c>
    </row>
    <row r="391" spans="1:11" x14ac:dyDescent="0.35">
      <c r="E391" t="s">
        <v>1008</v>
      </c>
      <c r="F391" t="s">
        <v>351</v>
      </c>
      <c r="G391">
        <v>27</v>
      </c>
    </row>
    <row r="392" spans="1:11" x14ac:dyDescent="0.35">
      <c r="E392" t="s">
        <v>507</v>
      </c>
      <c r="F392" t="s">
        <v>520</v>
      </c>
      <c r="G392" s="31">
        <f>G391*G390</f>
        <v>810</v>
      </c>
    </row>
    <row r="393" spans="1:11" x14ac:dyDescent="0.35">
      <c r="K393" s="1" t="s">
        <v>1062</v>
      </c>
    </row>
    <row r="394" spans="1:11" x14ac:dyDescent="0.35">
      <c r="C394" t="s">
        <v>1065</v>
      </c>
      <c r="E394" t="s">
        <v>353</v>
      </c>
      <c r="F394" t="s">
        <v>351</v>
      </c>
      <c r="G394">
        <v>24</v>
      </c>
    </row>
    <row r="395" spans="1:11" x14ac:dyDescent="0.35">
      <c r="E395" t="s">
        <v>1008</v>
      </c>
      <c r="F395" t="s">
        <v>351</v>
      </c>
      <c r="G395">
        <v>16</v>
      </c>
    </row>
    <row r="396" spans="1:11" x14ac:dyDescent="0.35">
      <c r="E396" t="s">
        <v>507</v>
      </c>
      <c r="F396" t="s">
        <v>520</v>
      </c>
      <c r="G396" s="31">
        <f>G395*G394</f>
        <v>384</v>
      </c>
    </row>
    <row r="398" spans="1:11" x14ac:dyDescent="0.35">
      <c r="C398" t="s">
        <v>507</v>
      </c>
      <c r="E398" s="73" t="s">
        <v>507</v>
      </c>
      <c r="F398" t="s">
        <v>520</v>
      </c>
      <c r="G398" s="31">
        <f>SUM(G392,G396)</f>
        <v>1194</v>
      </c>
    </row>
    <row r="399" spans="1:11" x14ac:dyDescent="0.35">
      <c r="E399" s="73" t="s">
        <v>1066</v>
      </c>
      <c r="G399" s="34">
        <v>10</v>
      </c>
    </row>
    <row r="400" spans="1:11" x14ac:dyDescent="0.35">
      <c r="E400" s="73" t="s">
        <v>1063</v>
      </c>
      <c r="G400" s="34">
        <f>G399*G398</f>
        <v>11940</v>
      </c>
    </row>
    <row r="402" spans="1:6" s="5" customFormat="1" x14ac:dyDescent="0.35">
      <c r="A402" s="86" t="s">
        <v>1203</v>
      </c>
    </row>
    <row r="403" spans="1:6" s="2" customFormat="1" x14ac:dyDescent="0.35">
      <c r="A403" s="93"/>
    </row>
    <row r="404" spans="1:6" ht="15" thickBot="1" x14ac:dyDescent="0.4">
      <c r="C404" s="51" t="s">
        <v>1074</v>
      </c>
      <c r="D404" s="51"/>
      <c r="E404" s="52"/>
      <c r="F404" s="52"/>
    </row>
    <row r="405" spans="1:6" x14ac:dyDescent="0.35">
      <c r="C405" s="138"/>
      <c r="D405" s="138"/>
      <c r="E405" s="139"/>
      <c r="F405" s="139"/>
    </row>
    <row r="406" spans="1:6" x14ac:dyDescent="0.35">
      <c r="C406" s="157">
        <v>0.5</v>
      </c>
      <c r="D406" s="138"/>
      <c r="E406" t="s">
        <v>57</v>
      </c>
      <c r="F406" t="s">
        <v>285</v>
      </c>
    </row>
    <row r="407" spans="1:6" x14ac:dyDescent="0.35">
      <c r="C407" s="157">
        <v>14</v>
      </c>
      <c r="D407" s="138"/>
      <c r="E407" t="s">
        <v>57</v>
      </c>
      <c r="F407" t="s">
        <v>353</v>
      </c>
    </row>
    <row r="408" spans="1:6" x14ac:dyDescent="0.35">
      <c r="C408" s="157">
        <f>7*12</f>
        <v>84</v>
      </c>
      <c r="D408" s="138"/>
      <c r="E408" t="s">
        <v>57</v>
      </c>
      <c r="F408" t="s">
        <v>1008</v>
      </c>
    </row>
    <row r="409" spans="1:6" x14ac:dyDescent="0.35">
      <c r="C409" s="138"/>
      <c r="D409" s="138"/>
    </row>
    <row r="410" spans="1:6" x14ac:dyDescent="0.35">
      <c r="C410" s="138">
        <f>(C406*C408)+(C406*C407)+(C407*C408)</f>
        <v>1225</v>
      </c>
      <c r="D410" s="138"/>
      <c r="E410" t="s">
        <v>1068</v>
      </c>
      <c r="F410" t="s">
        <v>1067</v>
      </c>
    </row>
    <row r="411" spans="1:6" x14ac:dyDescent="0.35">
      <c r="C411" s="138"/>
      <c r="D411" s="138"/>
    </row>
    <row r="412" spans="1:6" x14ac:dyDescent="0.35">
      <c r="C412" s="157">
        <v>0.02</v>
      </c>
      <c r="D412" s="138"/>
      <c r="E412" t="s">
        <v>57</v>
      </c>
      <c r="F412" t="s">
        <v>1069</v>
      </c>
    </row>
    <row r="413" spans="1:6" x14ac:dyDescent="0.35">
      <c r="C413" s="140">
        <f>C412*C410</f>
        <v>24.5</v>
      </c>
      <c r="D413" s="138"/>
      <c r="E413" t="s">
        <v>1075</v>
      </c>
      <c r="F413" t="s">
        <v>1070</v>
      </c>
    </row>
    <row r="414" spans="1:6" x14ac:dyDescent="0.35">
      <c r="C414" s="141">
        <f>0.1</f>
        <v>0.1</v>
      </c>
      <c r="D414" s="138"/>
      <c r="E414" t="s">
        <v>1076</v>
      </c>
      <c r="F414" t="s">
        <v>1071</v>
      </c>
    </row>
    <row r="415" spans="1:6" x14ac:dyDescent="0.35">
      <c r="C415" s="140">
        <f>C414*C413</f>
        <v>2.4500000000000002</v>
      </c>
      <c r="D415" s="138"/>
      <c r="E415" t="s">
        <v>69</v>
      </c>
      <c r="F415" t="s">
        <v>1072</v>
      </c>
    </row>
    <row r="416" spans="1:6" x14ac:dyDescent="0.35">
      <c r="C416" s="142">
        <v>1</v>
      </c>
      <c r="D416" s="138"/>
      <c r="E416" t="s">
        <v>1077</v>
      </c>
      <c r="F416" t="s">
        <v>1073</v>
      </c>
    </row>
    <row r="417" spans="1:16" x14ac:dyDescent="0.35">
      <c r="C417" s="142">
        <f>C416*C415</f>
        <v>2.4500000000000002</v>
      </c>
      <c r="D417" s="138"/>
      <c r="E417" t="s">
        <v>1078</v>
      </c>
    </row>
    <row r="418" spans="1:16" x14ac:dyDescent="0.35">
      <c r="C418" s="140"/>
      <c r="D418" s="138"/>
      <c r="E418" s="139"/>
      <c r="F418" s="139"/>
    </row>
    <row r="419" spans="1:16" s="5" customFormat="1" x14ac:dyDescent="0.35">
      <c r="A419" s="86" t="s">
        <v>1236</v>
      </c>
    </row>
    <row r="421" spans="1:16" x14ac:dyDescent="0.35">
      <c r="B421" t="s">
        <v>1237</v>
      </c>
      <c r="D421" s="1" t="s">
        <v>1235</v>
      </c>
    </row>
    <row r="422" spans="1:16" x14ac:dyDescent="0.35">
      <c r="B422" t="s">
        <v>1239</v>
      </c>
      <c r="D422" s="1" t="s">
        <v>1238</v>
      </c>
    </row>
    <row r="423" spans="1:16" x14ac:dyDescent="0.35">
      <c r="B423" t="s">
        <v>1241</v>
      </c>
      <c r="D423" s="1" t="s">
        <v>1240</v>
      </c>
      <c r="K423" t="s">
        <v>0</v>
      </c>
    </row>
    <row r="425" spans="1:16" s="5" customFormat="1" x14ac:dyDescent="0.35">
      <c r="A425" s="86" t="s">
        <v>1280</v>
      </c>
    </row>
    <row r="427" spans="1:16" ht="26.5" x14ac:dyDescent="0.35">
      <c r="C427" s="144" t="s">
        <v>1281</v>
      </c>
      <c r="D427" s="144" t="s">
        <v>1285</v>
      </c>
      <c r="E427" s="144" t="s">
        <v>1286</v>
      </c>
      <c r="F427" s="144" t="s">
        <v>1288</v>
      </c>
      <c r="G427" s="144" t="s">
        <v>1289</v>
      </c>
      <c r="H427" s="144" t="s">
        <v>1290</v>
      </c>
      <c r="I427" s="144" t="s">
        <v>1291</v>
      </c>
      <c r="P427" s="1" t="s">
        <v>1284</v>
      </c>
    </row>
    <row r="428" spans="1:16" x14ac:dyDescent="0.35">
      <c r="B428" t="s">
        <v>1283</v>
      </c>
      <c r="C428">
        <v>34</v>
      </c>
      <c r="D428" s="15">
        <f>0.76*C428+3.1</f>
        <v>28.94</v>
      </c>
      <c r="E428" s="11">
        <f>COS(   RADIANS( D428  ))</f>
        <v>0.87512691892984984</v>
      </c>
      <c r="F428" s="13">
        <v>1</v>
      </c>
      <c r="G428" s="12">
        <f>F428/E428</f>
        <v>1.1426913952353921</v>
      </c>
      <c r="H428" s="53">
        <v>0.1</v>
      </c>
      <c r="I428" s="17">
        <f>((1+H428)*G428)-1</f>
        <v>0.25696053475893144</v>
      </c>
      <c r="P428" s="1" t="s">
        <v>1287</v>
      </c>
    </row>
    <row r="429" spans="1:16" x14ac:dyDescent="0.35">
      <c r="B429" t="s">
        <v>1282</v>
      </c>
      <c r="C429">
        <v>42</v>
      </c>
      <c r="D429" s="15">
        <f>0.76*C429+3.1</f>
        <v>35.020000000000003</v>
      </c>
      <c r="E429" s="11">
        <f>COS(   RADIANS( D429  ))</f>
        <v>0.81895177844093814</v>
      </c>
      <c r="F429" s="13">
        <v>1</v>
      </c>
      <c r="G429" s="12">
        <f>F429/E429</f>
        <v>1.2210731160554147</v>
      </c>
      <c r="H429" s="53">
        <v>0.1</v>
      </c>
      <c r="I429" s="17">
        <f>((1+H429)*G429)-1</f>
        <v>0.34318042766095624</v>
      </c>
    </row>
    <row r="431" spans="1:16" s="5" customFormat="1" x14ac:dyDescent="0.35">
      <c r="A431" s="86" t="s">
        <v>5320</v>
      </c>
    </row>
    <row r="433" spans="2:17" x14ac:dyDescent="0.35">
      <c r="B433" s="83" t="s">
        <v>241</v>
      </c>
      <c r="D433" t="s">
        <v>5312</v>
      </c>
      <c r="K433" s="1" t="s">
        <v>5313</v>
      </c>
    </row>
    <row r="434" spans="2:17" x14ac:dyDescent="0.35">
      <c r="B434" s="83"/>
      <c r="D434" t="s">
        <v>5344</v>
      </c>
      <c r="Q434" s="170"/>
    </row>
    <row r="435" spans="2:17" x14ac:dyDescent="0.35">
      <c r="B435" s="83"/>
      <c r="D435" t="s">
        <v>5328</v>
      </c>
    </row>
    <row r="436" spans="2:17" x14ac:dyDescent="0.35">
      <c r="B436" s="83"/>
    </row>
    <row r="437" spans="2:17" x14ac:dyDescent="0.35">
      <c r="B437" s="83" t="s">
        <v>1485</v>
      </c>
      <c r="D437" t="s">
        <v>5329</v>
      </c>
      <c r="K437" t="s">
        <v>5316</v>
      </c>
    </row>
    <row r="438" spans="2:17" x14ac:dyDescent="0.35">
      <c r="B438" s="83"/>
      <c r="D438" t="s">
        <v>5315</v>
      </c>
      <c r="I438" s="1"/>
      <c r="K438" s="1" t="s">
        <v>5314</v>
      </c>
    </row>
    <row r="439" spans="2:17" x14ac:dyDescent="0.35">
      <c r="B439" s="83"/>
      <c r="D439" t="s">
        <v>5318</v>
      </c>
      <c r="I439" s="1"/>
      <c r="K439" s="1" t="s">
        <v>5317</v>
      </c>
    </row>
    <row r="440" spans="2:17" x14ac:dyDescent="0.35">
      <c r="B440" s="83"/>
      <c r="D440" t="s">
        <v>5325</v>
      </c>
      <c r="I440" s="1"/>
      <c r="K440" s="1" t="s">
        <v>5319</v>
      </c>
    </row>
    <row r="441" spans="2:17" x14ac:dyDescent="0.35">
      <c r="B441" s="83"/>
      <c r="D441" t="s">
        <v>5327</v>
      </c>
      <c r="I441" s="1"/>
      <c r="K441" s="1"/>
    </row>
    <row r="442" spans="2:17" x14ac:dyDescent="0.35">
      <c r="B442" s="83"/>
      <c r="I442" s="1"/>
      <c r="K442" s="1"/>
    </row>
    <row r="443" spans="2:17" x14ac:dyDescent="0.35">
      <c r="B443" s="83" t="s">
        <v>5330</v>
      </c>
      <c r="D443" t="s">
        <v>5339</v>
      </c>
      <c r="K443" s="1" t="s">
        <v>5338</v>
      </c>
    </row>
    <row r="444" spans="2:17" x14ac:dyDescent="0.35">
      <c r="B444" s="83"/>
      <c r="D444" t="s">
        <v>5334</v>
      </c>
      <c r="I444" s="1"/>
    </row>
    <row r="445" spans="2:17" x14ac:dyDescent="0.35">
      <c r="B445" s="83"/>
      <c r="I445" s="1"/>
      <c r="K445" s="1"/>
    </row>
    <row r="446" spans="2:17" x14ac:dyDescent="0.35">
      <c r="B446" s="83" t="s">
        <v>5340</v>
      </c>
      <c r="D446" t="s">
        <v>5343</v>
      </c>
      <c r="I446" s="1"/>
      <c r="K446" s="1" t="s">
        <v>5342</v>
      </c>
    </row>
    <row r="447" spans="2:17" x14ac:dyDescent="0.35">
      <c r="B447" s="83"/>
      <c r="D447" t="s">
        <v>5351</v>
      </c>
      <c r="I447" s="1"/>
      <c r="K447" s="1"/>
    </row>
    <row r="448" spans="2:17" x14ac:dyDescent="0.35">
      <c r="B448" s="83"/>
      <c r="D448" t="s">
        <v>5350</v>
      </c>
      <c r="I448" s="1"/>
      <c r="K448" s="1"/>
    </row>
    <row r="449" spans="1:20" x14ac:dyDescent="0.35">
      <c r="B449" s="83"/>
      <c r="D449" t="s">
        <v>5352</v>
      </c>
      <c r="I449" s="1"/>
      <c r="K449" s="1" t="s">
        <v>5341</v>
      </c>
    </row>
    <row r="450" spans="1:20" x14ac:dyDescent="0.35">
      <c r="B450" s="83"/>
      <c r="D450" t="s">
        <v>5353</v>
      </c>
      <c r="I450" s="1"/>
      <c r="K450" s="1" t="s">
        <v>5347</v>
      </c>
    </row>
    <row r="451" spans="1:20" x14ac:dyDescent="0.35">
      <c r="B451" s="83"/>
      <c r="D451" t="s">
        <v>5354</v>
      </c>
      <c r="I451" s="1"/>
      <c r="K451" s="1"/>
    </row>
    <row r="452" spans="1:20" x14ac:dyDescent="0.35">
      <c r="B452" s="83"/>
      <c r="I452" s="1"/>
      <c r="K452" s="1"/>
    </row>
    <row r="453" spans="1:20" x14ac:dyDescent="0.35">
      <c r="B453" s="83" t="s">
        <v>572</v>
      </c>
      <c r="D453" t="s">
        <v>5348</v>
      </c>
      <c r="I453" s="1"/>
      <c r="K453" s="1" t="s">
        <v>5345</v>
      </c>
    </row>
    <row r="454" spans="1:20" x14ac:dyDescent="0.35">
      <c r="B454" s="83"/>
      <c r="D454" t="s">
        <v>5349</v>
      </c>
      <c r="K454" s="1" t="s">
        <v>5346</v>
      </c>
    </row>
    <row r="455" spans="1:20" x14ac:dyDescent="0.35">
      <c r="B455" s="83"/>
      <c r="D455" t="s">
        <v>5356</v>
      </c>
      <c r="K455" s="1"/>
    </row>
    <row r="456" spans="1:20" x14ac:dyDescent="0.35">
      <c r="B456" s="83"/>
      <c r="D456" t="s">
        <v>5355</v>
      </c>
      <c r="K456" s="1"/>
    </row>
    <row r="457" spans="1:20" x14ac:dyDescent="0.35">
      <c r="B457" s="83"/>
    </row>
    <row r="458" spans="1:20" s="5" customFormat="1" x14ac:dyDescent="0.35">
      <c r="A458" s="86" t="s">
        <v>5357</v>
      </c>
    </row>
    <row r="459" spans="1:20" x14ac:dyDescent="0.35">
      <c r="B459" s="83"/>
    </row>
    <row r="460" spans="1:20" x14ac:dyDescent="0.35">
      <c r="B460" s="83" t="s">
        <v>5363</v>
      </c>
      <c r="F460" s="128" t="s">
        <v>5358</v>
      </c>
    </row>
    <row r="461" spans="1:20" ht="36.5" x14ac:dyDescent="0.35">
      <c r="B461" s="83"/>
      <c r="D461" s="307" t="s">
        <v>4730</v>
      </c>
      <c r="E461" s="307" t="s">
        <v>238</v>
      </c>
      <c r="F461" s="307" t="s">
        <v>4795</v>
      </c>
      <c r="G461" s="307" t="s">
        <v>4476</v>
      </c>
      <c r="H461" s="307" t="s">
        <v>4338</v>
      </c>
      <c r="I461" s="307" t="s">
        <v>4736</v>
      </c>
      <c r="J461" s="307" t="s">
        <v>36</v>
      </c>
      <c r="L461" s="307" t="s">
        <v>2722</v>
      </c>
      <c r="M461" s="307" t="s">
        <v>5361</v>
      </c>
      <c r="N461" s="307" t="s">
        <v>5362</v>
      </c>
      <c r="O461" s="307" t="s">
        <v>5364</v>
      </c>
      <c r="P461" s="12"/>
      <c r="Q461" s="307" t="s">
        <v>8905</v>
      </c>
      <c r="R461" s="307" t="s">
        <v>8906</v>
      </c>
      <c r="T461" s="307" t="s">
        <v>8907</v>
      </c>
    </row>
    <row r="462" spans="1:20" x14ac:dyDescent="0.35">
      <c r="B462" s="83"/>
      <c r="D462">
        <v>18</v>
      </c>
      <c r="E462" s="10">
        <v>6.3E-3</v>
      </c>
      <c r="F462" s="398">
        <v>25</v>
      </c>
      <c r="G462" s="398">
        <f t="shared" ref="G462" si="4">F462*2</f>
        <v>50</v>
      </c>
      <c r="H462" s="12">
        <f>G462*E462</f>
        <v>0.315</v>
      </c>
      <c r="I462" s="493">
        <v>6.0000000000000001E-3</v>
      </c>
      <c r="J462" s="10">
        <f>I462*H462</f>
        <v>1.89E-3</v>
      </c>
      <c r="K462" s="12"/>
      <c r="L462" s="398">
        <v>20</v>
      </c>
      <c r="M462" s="15">
        <f>L462*F462</f>
        <v>500</v>
      </c>
      <c r="N462" s="457">
        <v>1000</v>
      </c>
      <c r="O462" s="12">
        <f>N462*M462/1000000</f>
        <v>0.5</v>
      </c>
      <c r="P462" s="12"/>
      <c r="Q462" s="12">
        <f>F462*2/1000</f>
        <v>0.05</v>
      </c>
      <c r="R462" s="12">
        <f>Q462*20</f>
        <v>1</v>
      </c>
      <c r="T462" s="15">
        <f>O462/Q462</f>
        <v>10</v>
      </c>
    </row>
    <row r="463" spans="1:20" x14ac:dyDescent="0.35">
      <c r="B463" s="83"/>
      <c r="D463">
        <v>20</v>
      </c>
      <c r="E463" s="10">
        <v>0.01</v>
      </c>
      <c r="F463" s="519">
        <f t="shared" ref="F463:G465" si="5">F$462</f>
        <v>25</v>
      </c>
      <c r="G463" s="519">
        <f t="shared" si="5"/>
        <v>50</v>
      </c>
      <c r="H463" s="12">
        <f t="shared" ref="H463" si="6">G463*E463</f>
        <v>0.5</v>
      </c>
      <c r="I463" s="391">
        <f>I$462</f>
        <v>6.0000000000000001E-3</v>
      </c>
      <c r="J463" s="10">
        <f t="shared" ref="J463:J464" si="7">I463*H463</f>
        <v>3.0000000000000001E-3</v>
      </c>
      <c r="L463" s="162">
        <f>L$462</f>
        <v>20</v>
      </c>
      <c r="M463" s="15">
        <f t="shared" ref="M463:M465" si="8">L463*F463</f>
        <v>500</v>
      </c>
      <c r="N463" s="162">
        <f>N$462</f>
        <v>1000</v>
      </c>
      <c r="O463" s="12">
        <f t="shared" ref="O463:O465" si="9">N463*M463/1000000</f>
        <v>0.5</v>
      </c>
      <c r="P463" s="12"/>
      <c r="Q463" s="12">
        <f t="shared" ref="Q463:Q465" si="10">F463*2/1000</f>
        <v>0.05</v>
      </c>
      <c r="R463" s="12">
        <f t="shared" ref="R463:R465" si="11">Q463*20</f>
        <v>1</v>
      </c>
    </row>
    <row r="464" spans="1:20" x14ac:dyDescent="0.35">
      <c r="B464" s="83"/>
      <c r="D464">
        <v>22</v>
      </c>
      <c r="E464" s="10">
        <v>1.6E-2</v>
      </c>
      <c r="F464" s="519">
        <f t="shared" si="5"/>
        <v>25</v>
      </c>
      <c r="G464" s="519">
        <f t="shared" si="5"/>
        <v>50</v>
      </c>
      <c r="H464" s="12">
        <f t="shared" ref="H464" si="12">G464*E464</f>
        <v>0.8</v>
      </c>
      <c r="I464" s="391">
        <f>I$462</f>
        <v>6.0000000000000001E-3</v>
      </c>
      <c r="J464" s="10">
        <f t="shared" si="7"/>
        <v>4.8000000000000004E-3</v>
      </c>
      <c r="L464" s="162">
        <f>L$462</f>
        <v>20</v>
      </c>
      <c r="M464" s="15">
        <f t="shared" si="8"/>
        <v>500</v>
      </c>
      <c r="N464" s="162">
        <f>N$462</f>
        <v>1000</v>
      </c>
      <c r="O464" s="12">
        <f t="shared" si="9"/>
        <v>0.5</v>
      </c>
      <c r="P464" s="12"/>
      <c r="Q464" s="12">
        <f t="shared" si="10"/>
        <v>0.05</v>
      </c>
      <c r="R464" s="12">
        <f t="shared" si="11"/>
        <v>1</v>
      </c>
    </row>
    <row r="465" spans="1:18" x14ac:dyDescent="0.35">
      <c r="B465" s="83"/>
      <c r="D465" s="73">
        <v>24</v>
      </c>
      <c r="E465" s="10">
        <f>0.025</f>
        <v>2.5000000000000001E-2</v>
      </c>
      <c r="F465" s="519">
        <f t="shared" si="5"/>
        <v>25</v>
      </c>
      <c r="G465" s="519">
        <f t="shared" si="5"/>
        <v>50</v>
      </c>
      <c r="H465" s="12">
        <f>G465*E465</f>
        <v>1.25</v>
      </c>
      <c r="I465" s="391">
        <f>I$462</f>
        <v>6.0000000000000001E-3</v>
      </c>
      <c r="J465" s="10">
        <f>I465*H465</f>
        <v>7.4999999999999997E-3</v>
      </c>
      <c r="L465" s="162">
        <f>L$462</f>
        <v>20</v>
      </c>
      <c r="M465" s="15">
        <f t="shared" si="8"/>
        <v>500</v>
      </c>
      <c r="N465" s="162">
        <f>N$462</f>
        <v>1000</v>
      </c>
      <c r="O465" s="12">
        <f t="shared" si="9"/>
        <v>0.5</v>
      </c>
      <c r="P465" s="12"/>
      <c r="Q465" s="12">
        <f t="shared" si="10"/>
        <v>0.05</v>
      </c>
      <c r="R465" s="12">
        <f t="shared" si="11"/>
        <v>1</v>
      </c>
    </row>
    <row r="466" spans="1:18" x14ac:dyDescent="0.35">
      <c r="B466" s="83"/>
      <c r="D466" s="73"/>
      <c r="E466" s="10"/>
      <c r="H466" s="12"/>
      <c r="I466" s="391"/>
      <c r="L466" s="12"/>
      <c r="M466" s="12"/>
      <c r="N466" s="12"/>
      <c r="O466" s="12"/>
      <c r="P466" s="12"/>
      <c r="Q466" s="12"/>
      <c r="R466" s="12"/>
    </row>
    <row r="467" spans="1:18" x14ac:dyDescent="0.35">
      <c r="B467" s="83" t="s">
        <v>5360</v>
      </c>
      <c r="D467" s="73"/>
      <c r="E467" s="10"/>
      <c r="H467" s="12"/>
      <c r="I467" s="391"/>
      <c r="L467" s="12"/>
      <c r="M467" s="12"/>
      <c r="N467" s="12"/>
      <c r="O467" s="12"/>
      <c r="P467" s="12"/>
      <c r="Q467" s="12"/>
      <c r="R467" s="12"/>
    </row>
    <row r="468" spans="1:18" ht="36.5" x14ac:dyDescent="0.35">
      <c r="B468" s="83"/>
      <c r="D468" s="307" t="s">
        <v>4730</v>
      </c>
      <c r="E468" s="307" t="s">
        <v>238</v>
      </c>
      <c r="F468" s="307" t="s">
        <v>4795</v>
      </c>
      <c r="G468" s="307" t="s">
        <v>4476</v>
      </c>
      <c r="H468" s="307" t="s">
        <v>4338</v>
      </c>
      <c r="I468" s="307" t="s">
        <v>4736</v>
      </c>
      <c r="J468" s="307" t="s">
        <v>36</v>
      </c>
      <c r="L468" s="12"/>
      <c r="M468" s="12"/>
      <c r="N468" s="12"/>
      <c r="O468" s="12"/>
      <c r="P468" s="12"/>
      <c r="Q468" s="12"/>
      <c r="R468" s="12"/>
    </row>
    <row r="469" spans="1:18" x14ac:dyDescent="0.35">
      <c r="B469" s="83"/>
      <c r="D469">
        <v>18</v>
      </c>
      <c r="E469" s="10">
        <v>6.3E-3</v>
      </c>
      <c r="F469" s="398">
        <v>20</v>
      </c>
      <c r="G469" s="398">
        <f t="shared" ref="G469" si="13">F469*2</f>
        <v>40</v>
      </c>
      <c r="H469" s="12">
        <f>G469*E469</f>
        <v>0.252</v>
      </c>
      <c r="I469" s="493">
        <v>2</v>
      </c>
      <c r="J469" s="10">
        <f>I469*H469</f>
        <v>0.504</v>
      </c>
      <c r="L469" s="12"/>
      <c r="M469" s="12"/>
      <c r="N469" s="12"/>
      <c r="O469" s="12"/>
      <c r="P469" s="12"/>
      <c r="Q469" s="12"/>
      <c r="R469" s="12"/>
    </row>
    <row r="470" spans="1:18" x14ac:dyDescent="0.35">
      <c r="B470" s="83"/>
      <c r="D470">
        <v>20</v>
      </c>
      <c r="E470" s="10">
        <v>0.01</v>
      </c>
      <c r="F470" s="519">
        <f t="shared" ref="F470:G472" si="14">F$469</f>
        <v>20</v>
      </c>
      <c r="G470" s="519">
        <f t="shared" si="14"/>
        <v>40</v>
      </c>
      <c r="H470" s="12">
        <f t="shared" ref="H470" si="15">G470*E470</f>
        <v>0.4</v>
      </c>
      <c r="I470" s="391">
        <f>I$469</f>
        <v>2</v>
      </c>
      <c r="J470" s="10">
        <f t="shared" ref="J470" si="16">I470*H470</f>
        <v>0.8</v>
      </c>
      <c r="K470" s="391"/>
      <c r="L470" s="220"/>
      <c r="M470" s="335"/>
      <c r="N470" s="12"/>
      <c r="O470" s="486"/>
    </row>
    <row r="471" spans="1:18" x14ac:dyDescent="0.35">
      <c r="B471" s="83"/>
      <c r="D471">
        <v>22</v>
      </c>
      <c r="E471" s="10">
        <v>1.6E-2</v>
      </c>
      <c r="F471" s="519">
        <f t="shared" si="14"/>
        <v>20</v>
      </c>
      <c r="G471" s="519">
        <f t="shared" si="14"/>
        <v>40</v>
      </c>
      <c r="H471" s="12">
        <f>G471*E471</f>
        <v>0.64</v>
      </c>
      <c r="I471" s="391">
        <f>I$469</f>
        <v>2</v>
      </c>
      <c r="J471" s="10">
        <f>I471*H471</f>
        <v>1.28</v>
      </c>
      <c r="K471" s="391"/>
      <c r="L471" s="220"/>
      <c r="M471" s="335"/>
      <c r="N471" s="12"/>
      <c r="O471" s="486"/>
    </row>
    <row r="472" spans="1:18" x14ac:dyDescent="0.35">
      <c r="B472" s="83"/>
      <c r="D472" s="73">
        <v>24</v>
      </c>
      <c r="E472" s="10">
        <f>0.025</f>
        <v>2.5000000000000001E-2</v>
      </c>
      <c r="F472" s="519">
        <f t="shared" si="14"/>
        <v>20</v>
      </c>
      <c r="G472" s="519">
        <f t="shared" si="14"/>
        <v>40</v>
      </c>
      <c r="H472" s="12">
        <f t="shared" ref="H472" si="17">G472*E472</f>
        <v>1</v>
      </c>
      <c r="I472" s="391">
        <f>I$469</f>
        <v>2</v>
      </c>
      <c r="J472" s="10">
        <f t="shared" ref="J472" si="18">I472*H472</f>
        <v>2</v>
      </c>
      <c r="K472" s="391"/>
      <c r="L472" s="220"/>
      <c r="M472" s="335"/>
      <c r="N472" s="12"/>
      <c r="O472" s="486"/>
    </row>
    <row r="473" spans="1:18" x14ac:dyDescent="0.35">
      <c r="B473" s="83"/>
      <c r="D473" s="73"/>
      <c r="E473" s="10"/>
      <c r="F473" s="519"/>
      <c r="G473" s="519"/>
      <c r="H473" s="12"/>
      <c r="I473" s="391"/>
      <c r="J473" s="10"/>
      <c r="K473" s="391"/>
      <c r="L473" s="220"/>
      <c r="M473" s="335"/>
      <c r="N473" s="12"/>
      <c r="O473" s="486"/>
    </row>
    <row r="474" spans="1:18" x14ac:dyDescent="0.35">
      <c r="B474" s="83" t="s">
        <v>8923</v>
      </c>
      <c r="D474" s="73"/>
      <c r="E474" s="10"/>
      <c r="F474" s="519"/>
      <c r="G474" s="519"/>
      <c r="I474" s="12"/>
      <c r="J474" s="10"/>
      <c r="K474" s="391"/>
      <c r="L474" s="220"/>
      <c r="M474" s="335"/>
      <c r="N474" s="12"/>
      <c r="O474" s="486"/>
    </row>
    <row r="475" spans="1:18" x14ac:dyDescent="0.35">
      <c r="B475" s="83"/>
      <c r="D475" s="128" t="s">
        <v>8924</v>
      </c>
      <c r="E475" s="10"/>
      <c r="F475" s="519"/>
      <c r="G475" s="519"/>
      <c r="I475" s="12" t="s">
        <v>8922</v>
      </c>
      <c r="J475" s="10"/>
      <c r="K475" s="391"/>
      <c r="L475" s="220"/>
      <c r="M475" s="335"/>
      <c r="N475" s="12"/>
      <c r="O475" s="486"/>
    </row>
    <row r="476" spans="1:18" x14ac:dyDescent="0.35">
      <c r="B476" s="83"/>
      <c r="D476" s="128"/>
      <c r="E476" s="10"/>
      <c r="F476" s="519"/>
      <c r="G476" s="519"/>
      <c r="I476" s="12"/>
      <c r="J476" s="10"/>
      <c r="K476" s="391"/>
      <c r="L476" s="220"/>
      <c r="M476" s="335"/>
      <c r="N476" s="12"/>
      <c r="O476" s="486"/>
    </row>
    <row r="477" spans="1:18" x14ac:dyDescent="0.35">
      <c r="B477" s="83" t="s">
        <v>4720</v>
      </c>
      <c r="D477" s="73"/>
      <c r="E477" s="10"/>
      <c r="F477" s="519"/>
      <c r="G477" s="519"/>
      <c r="H477" s="12"/>
      <c r="I477" s="391"/>
      <c r="J477" s="10"/>
      <c r="K477" s="391"/>
      <c r="L477" s="220"/>
      <c r="M477" s="335"/>
      <c r="N477" s="12"/>
      <c r="O477" s="486"/>
    </row>
    <row r="478" spans="1:18" x14ac:dyDescent="0.35">
      <c r="B478" s="83"/>
      <c r="D478" s="128" t="s">
        <v>8904</v>
      </c>
      <c r="E478" s="10"/>
      <c r="F478" s="519"/>
      <c r="G478" s="519"/>
      <c r="H478" s="12"/>
      <c r="I478" s="391"/>
      <c r="J478" s="10"/>
      <c r="K478" s="391"/>
      <c r="L478" s="220"/>
      <c r="M478" s="335"/>
      <c r="N478" s="12"/>
      <c r="O478" s="486"/>
    </row>
    <row r="479" spans="1:18" x14ac:dyDescent="0.35">
      <c r="B479" s="83"/>
    </row>
    <row r="480" spans="1:18" s="5" customFormat="1" x14ac:dyDescent="0.35">
      <c r="A480" s="86" t="s">
        <v>5307</v>
      </c>
    </row>
    <row r="481" spans="1:13" x14ac:dyDescent="0.35">
      <c r="K481" s="1"/>
      <c r="M481" s="1"/>
    </row>
    <row r="482" spans="1:13" x14ac:dyDescent="0.35">
      <c r="B482" s="83" t="s">
        <v>3923</v>
      </c>
      <c r="D482" t="s">
        <v>5359</v>
      </c>
      <c r="K482" s="1" t="s">
        <v>1044</v>
      </c>
      <c r="M482" s="1"/>
    </row>
    <row r="483" spans="1:13" x14ac:dyDescent="0.35">
      <c r="D483" t="s">
        <v>1049</v>
      </c>
      <c r="K483" s="6" t="s">
        <v>1046</v>
      </c>
      <c r="M483" s="1"/>
    </row>
    <row r="484" spans="1:13" x14ac:dyDescent="0.35">
      <c r="D484" t="s">
        <v>1050</v>
      </c>
      <c r="K484" s="6" t="s">
        <v>1047</v>
      </c>
      <c r="M484" s="1"/>
    </row>
    <row r="485" spans="1:13" x14ac:dyDescent="0.35">
      <c r="D485" t="s">
        <v>1054</v>
      </c>
      <c r="K485" s="1" t="s">
        <v>1053</v>
      </c>
      <c r="M485" s="1"/>
    </row>
    <row r="486" spans="1:13" x14ac:dyDescent="0.35">
      <c r="D486" t="s">
        <v>1056</v>
      </c>
      <c r="K486" s="1" t="s">
        <v>1055</v>
      </c>
      <c r="M486" s="1"/>
    </row>
    <row r="487" spans="1:13" x14ac:dyDescent="0.35">
      <c r="D487" t="s">
        <v>1249</v>
      </c>
      <c r="K487" s="1" t="s">
        <v>1246</v>
      </c>
      <c r="M487" s="1"/>
    </row>
    <row r="488" spans="1:13" x14ac:dyDescent="0.35">
      <c r="D488" t="s">
        <v>1248</v>
      </c>
      <c r="K488" s="1" t="s">
        <v>1247</v>
      </c>
      <c r="M488" s="1"/>
    </row>
    <row r="489" spans="1:13" x14ac:dyDescent="0.35">
      <c r="E489" t="s">
        <v>1251</v>
      </c>
      <c r="K489" s="1" t="s">
        <v>1250</v>
      </c>
      <c r="M489" s="1"/>
    </row>
    <row r="490" spans="1:13" x14ac:dyDescent="0.35">
      <c r="A490" s="87"/>
      <c r="D490" s="143" t="s">
        <v>5308</v>
      </c>
      <c r="E490" t="s">
        <v>5309</v>
      </c>
      <c r="K490" t="s">
        <v>220</v>
      </c>
    </row>
    <row r="491" spans="1:13" x14ac:dyDescent="0.35">
      <c r="A491" s="87"/>
      <c r="E491" t="s">
        <v>5310</v>
      </c>
      <c r="K491" t="s">
        <v>228</v>
      </c>
    </row>
    <row r="492" spans="1:13" x14ac:dyDescent="0.35">
      <c r="A492" s="87"/>
    </row>
    <row r="493" spans="1:13" x14ac:dyDescent="0.35">
      <c r="A493" s="87"/>
      <c r="B493" s="83" t="s">
        <v>8938</v>
      </c>
      <c r="D493" t="s">
        <v>8939</v>
      </c>
      <c r="K493" s="6" t="s">
        <v>8930</v>
      </c>
    </row>
    <row r="494" spans="1:13" x14ac:dyDescent="0.35">
      <c r="A494" s="87"/>
      <c r="K494" s="6" t="s">
        <v>8932</v>
      </c>
    </row>
    <row r="495" spans="1:13" x14ac:dyDescent="0.35">
      <c r="A495" s="87"/>
      <c r="K495" s="6" t="s">
        <v>8933</v>
      </c>
    </row>
    <row r="496" spans="1:13" x14ac:dyDescent="0.35">
      <c r="A496" s="87"/>
      <c r="K496" s="6" t="s">
        <v>8934</v>
      </c>
    </row>
    <row r="497" spans="1:13" x14ac:dyDescent="0.35">
      <c r="A497" s="87"/>
      <c r="K497" s="6" t="s">
        <v>8935</v>
      </c>
    </row>
    <row r="498" spans="1:13" x14ac:dyDescent="0.35">
      <c r="A498" s="87"/>
      <c r="K498" s="6" t="s">
        <v>8936</v>
      </c>
    </row>
    <row r="499" spans="1:13" x14ac:dyDescent="0.35">
      <c r="A499" s="87"/>
      <c r="K499" s="934"/>
    </row>
    <row r="500" spans="1:13" s="5" customFormat="1" x14ac:dyDescent="0.35">
      <c r="A500" s="86" t="s">
        <v>1048</v>
      </c>
    </row>
    <row r="501" spans="1:13" x14ac:dyDescent="0.35">
      <c r="K501" s="6"/>
      <c r="M501" s="1"/>
    </row>
    <row r="502" spans="1:13" x14ac:dyDescent="0.35">
      <c r="B502" s="83" t="s">
        <v>4333</v>
      </c>
      <c r="D502" t="s">
        <v>4416</v>
      </c>
      <c r="K502" s="1" t="s">
        <v>1045</v>
      </c>
      <c r="M502" s="1"/>
    </row>
    <row r="503" spans="1:13" x14ac:dyDescent="0.35">
      <c r="B503" s="83"/>
      <c r="K503" s="1"/>
      <c r="M503" s="1"/>
    </row>
    <row r="504" spans="1:13" x14ac:dyDescent="0.35">
      <c r="B504" s="83" t="s">
        <v>4332</v>
      </c>
      <c r="D504" t="s">
        <v>4417</v>
      </c>
      <c r="K504" s="1" t="s">
        <v>1051</v>
      </c>
      <c r="M504" s="1"/>
    </row>
    <row r="505" spans="1:13" x14ac:dyDescent="0.35">
      <c r="B505" s="83"/>
      <c r="D505" t="s">
        <v>4418</v>
      </c>
      <c r="K505" s="1" t="s">
        <v>1052</v>
      </c>
      <c r="M505" s="1"/>
    </row>
    <row r="506" spans="1:13" x14ac:dyDescent="0.35">
      <c r="B506" s="83"/>
      <c r="K506" s="1"/>
      <c r="M506" s="1"/>
    </row>
    <row r="507" spans="1:13" x14ac:dyDescent="0.35">
      <c r="B507" s="83" t="s">
        <v>4317</v>
      </c>
      <c r="D507" t="s">
        <v>4331</v>
      </c>
      <c r="G507" s="170"/>
      <c r="I507" s="440" t="s">
        <v>3668</v>
      </c>
      <c r="K507" s="1" t="s">
        <v>4316</v>
      </c>
      <c r="M507" s="1"/>
    </row>
    <row r="508" spans="1:13" x14ac:dyDescent="0.35">
      <c r="B508" s="83"/>
      <c r="D508" t="s">
        <v>4330</v>
      </c>
      <c r="K508" s="1" t="s">
        <v>4329</v>
      </c>
      <c r="M508" s="1"/>
    </row>
    <row r="509" spans="1:13" x14ac:dyDescent="0.35">
      <c r="B509" s="83"/>
      <c r="D509" t="s">
        <v>4335</v>
      </c>
      <c r="K509" s="1" t="s">
        <v>4334</v>
      </c>
      <c r="M509" s="1"/>
    </row>
    <row r="510" spans="1:13" x14ac:dyDescent="0.35">
      <c r="B510" s="83"/>
      <c r="D510" t="s">
        <v>4337</v>
      </c>
      <c r="K510" s="1" t="s">
        <v>4336</v>
      </c>
      <c r="M510" s="1"/>
    </row>
    <row r="511" spans="1:13" x14ac:dyDescent="0.35">
      <c r="B511" s="83"/>
      <c r="K511" s="1"/>
      <c r="M511" s="1"/>
    </row>
    <row r="512" spans="1:13" x14ac:dyDescent="0.35">
      <c r="B512" s="83"/>
      <c r="D512" t="s">
        <v>8940</v>
      </c>
      <c r="K512" s="6" t="s">
        <v>8927</v>
      </c>
      <c r="M512" s="1"/>
    </row>
    <row r="513" spans="2:16" x14ac:dyDescent="0.35">
      <c r="B513" s="83"/>
      <c r="K513" s="6" t="s">
        <v>4316</v>
      </c>
      <c r="M513" s="1"/>
    </row>
    <row r="514" spans="2:16" x14ac:dyDescent="0.35">
      <c r="B514" s="83"/>
      <c r="K514" s="6" t="s">
        <v>8928</v>
      </c>
      <c r="M514" s="1"/>
    </row>
    <row r="515" spans="2:16" x14ac:dyDescent="0.35">
      <c r="B515" s="83"/>
      <c r="K515" s="6" t="s">
        <v>8929</v>
      </c>
      <c r="M515" s="1"/>
    </row>
    <row r="516" spans="2:16" x14ac:dyDescent="0.35">
      <c r="B516" s="83"/>
      <c r="K516" s="6" t="s">
        <v>8931</v>
      </c>
      <c r="M516" s="1"/>
    </row>
    <row r="517" spans="2:16" x14ac:dyDescent="0.35">
      <c r="B517" s="83"/>
      <c r="K517" s="6" t="s">
        <v>8937</v>
      </c>
      <c r="M517" s="1"/>
    </row>
    <row r="518" spans="2:16" x14ac:dyDescent="0.35">
      <c r="B518" s="83"/>
      <c r="K518" s="6"/>
      <c r="M518" s="1"/>
    </row>
    <row r="519" spans="2:16" x14ac:dyDescent="0.35">
      <c r="B519" s="83" t="s">
        <v>5375</v>
      </c>
      <c r="K519" s="1" t="s">
        <v>5374</v>
      </c>
      <c r="M519" s="1"/>
    </row>
    <row r="520" spans="2:16" x14ac:dyDescent="0.35">
      <c r="B520" s="83"/>
      <c r="K520" s="1"/>
      <c r="M520" s="1"/>
    </row>
    <row r="521" spans="2:16" x14ac:dyDescent="0.35">
      <c r="B521" s="83" t="s">
        <v>5326</v>
      </c>
      <c r="D521" t="s">
        <v>5324</v>
      </c>
      <c r="I521" s="1"/>
      <c r="K521" s="1" t="s">
        <v>5321</v>
      </c>
      <c r="M521" t="s">
        <v>0</v>
      </c>
      <c r="O521" t="s">
        <v>5323</v>
      </c>
      <c r="P521" s="1" t="s">
        <v>5322</v>
      </c>
    </row>
    <row r="522" spans="2:16" x14ac:dyDescent="0.35">
      <c r="B522" s="83"/>
      <c r="K522" s="1"/>
      <c r="M522" s="1"/>
    </row>
    <row r="523" spans="2:16" x14ac:dyDescent="0.35">
      <c r="B523" s="83" t="s">
        <v>1300</v>
      </c>
      <c r="D523" t="s">
        <v>4419</v>
      </c>
      <c r="K523" s="1" t="s">
        <v>4316</v>
      </c>
      <c r="M523" s="1"/>
    </row>
    <row r="524" spans="2:16" x14ac:dyDescent="0.35">
      <c r="B524" s="83"/>
      <c r="E524" t="s">
        <v>4420</v>
      </c>
      <c r="K524" s="1"/>
      <c r="M524" s="1"/>
    </row>
    <row r="525" spans="2:16" x14ac:dyDescent="0.35">
      <c r="B525" s="83"/>
      <c r="K525" s="1"/>
      <c r="M525" s="1"/>
    </row>
    <row r="526" spans="2:16" x14ac:dyDescent="0.35">
      <c r="B526" s="83" t="s">
        <v>5337</v>
      </c>
      <c r="I526" s="1"/>
      <c r="K526" s="1" t="s">
        <v>5332</v>
      </c>
    </row>
    <row r="527" spans="2:16" x14ac:dyDescent="0.35">
      <c r="D527" t="s">
        <v>5333</v>
      </c>
      <c r="K527" s="1" t="s">
        <v>5331</v>
      </c>
    </row>
    <row r="528" spans="2:16" x14ac:dyDescent="0.35">
      <c r="D528" t="s">
        <v>5336</v>
      </c>
      <c r="K528" s="1" t="s">
        <v>5335</v>
      </c>
    </row>
    <row r="529" spans="1:13" x14ac:dyDescent="0.35">
      <c r="K529" s="1"/>
    </row>
    <row r="530" spans="1:13" x14ac:dyDescent="0.35">
      <c r="B530" s="83" t="s">
        <v>4414</v>
      </c>
      <c r="D530" t="s">
        <v>4422</v>
      </c>
      <c r="K530" s="1"/>
      <c r="M530" s="1"/>
    </row>
    <row r="531" spans="1:13" x14ac:dyDescent="0.35">
      <c r="B531" s="83"/>
      <c r="K531" s="1"/>
      <c r="M531" s="1"/>
    </row>
    <row r="532" spans="1:13" s="5" customFormat="1" x14ac:dyDescent="0.35">
      <c r="A532" s="86" t="s">
        <v>5311</v>
      </c>
    </row>
    <row r="534" spans="1:13" x14ac:dyDescent="0.35">
      <c r="B534" s="83" t="s">
        <v>1415</v>
      </c>
      <c r="D534" t="s">
        <v>2690</v>
      </c>
    </row>
    <row r="535" spans="1:13" x14ac:dyDescent="0.35">
      <c r="D535" t="s">
        <v>2691</v>
      </c>
    </row>
    <row r="537" spans="1:13" ht="39.5" x14ac:dyDescent="0.35">
      <c r="B537" s="83" t="s">
        <v>1840</v>
      </c>
      <c r="G537" s="73"/>
      <c r="H537" s="15"/>
      <c r="J537" s="144" t="s">
        <v>1132</v>
      </c>
      <c r="K537" s="144" t="s">
        <v>2688</v>
      </c>
      <c r="L537" s="144" t="s">
        <v>2689</v>
      </c>
    </row>
    <row r="538" spans="1:13" x14ac:dyDescent="0.35">
      <c r="D538" t="s">
        <v>1165</v>
      </c>
      <c r="F538" t="s">
        <v>1266</v>
      </c>
      <c r="G538" s="73"/>
      <c r="H538" s="15"/>
      <c r="I538" t="s">
        <v>1124</v>
      </c>
      <c r="J538" s="32">
        <v>25</v>
      </c>
      <c r="K538" s="32">
        <v>25</v>
      </c>
      <c r="L538" s="32">
        <v>25</v>
      </c>
    </row>
    <row r="539" spans="1:13" x14ac:dyDescent="0.35">
      <c r="F539" t="s">
        <v>1267</v>
      </c>
      <c r="G539" s="73"/>
      <c r="H539" s="15"/>
      <c r="I539" t="s">
        <v>1124</v>
      </c>
      <c r="J539" s="32">
        <v>75</v>
      </c>
      <c r="K539" s="32">
        <v>75</v>
      </c>
      <c r="L539" s="32">
        <v>75</v>
      </c>
    </row>
    <row r="540" spans="1:13" x14ac:dyDescent="0.35">
      <c r="F540" t="s">
        <v>1168</v>
      </c>
      <c r="G540" s="73"/>
      <c r="H540" s="15"/>
      <c r="I540" t="s">
        <v>1124</v>
      </c>
      <c r="J540" s="31">
        <f>J539-J538</f>
        <v>50</v>
      </c>
      <c r="K540" s="31">
        <f>K539-K538</f>
        <v>50</v>
      </c>
      <c r="L540" s="31">
        <f>L539-L538</f>
        <v>50</v>
      </c>
    </row>
    <row r="541" spans="1:13" x14ac:dyDescent="0.35">
      <c r="G541" s="128"/>
      <c r="H541" s="15"/>
    </row>
    <row r="542" spans="1:13" x14ac:dyDescent="0.35">
      <c r="D542" t="s">
        <v>1158</v>
      </c>
      <c r="F542" t="s">
        <v>2672</v>
      </c>
      <c r="G542" s="73"/>
      <c r="H542" s="15"/>
      <c r="I542" t="s">
        <v>520</v>
      </c>
      <c r="J542" s="32">
        <v>2000</v>
      </c>
      <c r="K542" s="32"/>
      <c r="L542" s="32"/>
    </row>
    <row r="543" spans="1:13" x14ac:dyDescent="0.35">
      <c r="F543" t="s">
        <v>2673</v>
      </c>
      <c r="G543" s="73"/>
      <c r="H543" s="15"/>
      <c r="I543" t="s">
        <v>2674</v>
      </c>
      <c r="J543" s="106">
        <v>0.18</v>
      </c>
      <c r="K543" s="106"/>
      <c r="L543" s="106"/>
    </row>
    <row r="544" spans="1:13" x14ac:dyDescent="0.35">
      <c r="F544" t="s">
        <v>1252</v>
      </c>
      <c r="G544" s="73"/>
      <c r="H544" s="15"/>
      <c r="I544" t="s">
        <v>520</v>
      </c>
      <c r="J544" s="20">
        <f>J543*J542</f>
        <v>360</v>
      </c>
      <c r="K544" s="20">
        <v>15</v>
      </c>
      <c r="L544" s="20">
        <v>15</v>
      </c>
    </row>
    <row r="545" spans="4:12" x14ac:dyDescent="0.35">
      <c r="F545" t="s">
        <v>2675</v>
      </c>
      <c r="G545" s="73"/>
      <c r="H545" s="15"/>
      <c r="I545" s="4" t="s">
        <v>520</v>
      </c>
      <c r="J545" s="229">
        <f>J542-J544</f>
        <v>1640</v>
      </c>
      <c r="K545" s="229">
        <v>15</v>
      </c>
      <c r="L545" s="229">
        <v>15</v>
      </c>
    </row>
    <row r="546" spans="4:12" x14ac:dyDescent="0.35">
      <c r="G546" s="73" t="s">
        <v>2676</v>
      </c>
      <c r="H546" s="15"/>
      <c r="J546" s="20"/>
      <c r="K546" s="20"/>
      <c r="L546" s="20"/>
    </row>
    <row r="547" spans="4:12" x14ac:dyDescent="0.35">
      <c r="G547" s="73"/>
      <c r="H547" s="15"/>
      <c r="J547" s="20"/>
      <c r="K547" s="20"/>
      <c r="L547" s="20"/>
    </row>
    <row r="548" spans="4:12" x14ac:dyDescent="0.35">
      <c r="D548" t="s">
        <v>177</v>
      </c>
      <c r="F548" t="s">
        <v>1256</v>
      </c>
      <c r="G548" s="73"/>
      <c r="H548" s="15"/>
      <c r="I548" t="s">
        <v>1126</v>
      </c>
      <c r="J548" s="152">
        <v>3</v>
      </c>
      <c r="K548" s="152">
        <v>3</v>
      </c>
      <c r="L548" s="152">
        <f>3+14</f>
        <v>17</v>
      </c>
    </row>
    <row r="549" spans="4:12" x14ac:dyDescent="0.35">
      <c r="F549" t="s">
        <v>2677</v>
      </c>
      <c r="G549" s="73"/>
      <c r="H549" s="15"/>
      <c r="I549" t="s">
        <v>1126</v>
      </c>
      <c r="J549" s="152">
        <v>20</v>
      </c>
      <c r="K549" s="152">
        <f>14+21</f>
        <v>35</v>
      </c>
      <c r="L549" s="152">
        <f>14</f>
        <v>14</v>
      </c>
    </row>
    <row r="550" spans="4:12" x14ac:dyDescent="0.35">
      <c r="G550" s="73"/>
      <c r="H550" s="15"/>
    </row>
    <row r="551" spans="4:12" x14ac:dyDescent="0.35">
      <c r="D551" t="s">
        <v>2681</v>
      </c>
      <c r="F551" t="s">
        <v>1257</v>
      </c>
      <c r="G551" s="73"/>
      <c r="I551" s="7" t="s">
        <v>1134</v>
      </c>
      <c r="J551" s="146">
        <f>J544*J540/J548</f>
        <v>6000</v>
      </c>
      <c r="K551" s="146">
        <f>K544*K540/K548</f>
        <v>250</v>
      </c>
      <c r="L551" s="146">
        <f>L544*L540/L548</f>
        <v>44.117647058823529</v>
      </c>
    </row>
    <row r="552" spans="4:12" x14ac:dyDescent="0.35">
      <c r="F552" t="s">
        <v>2678</v>
      </c>
      <c r="G552" s="73"/>
      <c r="I552" s="4" t="s">
        <v>1134</v>
      </c>
      <c r="J552" s="229">
        <f>J545*J540/J549</f>
        <v>4100</v>
      </c>
      <c r="K552" s="229">
        <f>K545*K540/K549</f>
        <v>21.428571428571427</v>
      </c>
      <c r="L552" s="229">
        <f>L545*L540/L549</f>
        <v>53.571428571428569</v>
      </c>
    </row>
    <row r="553" spans="4:12" x14ac:dyDescent="0.35">
      <c r="G553" s="73" t="s">
        <v>2676</v>
      </c>
      <c r="H553" s="1"/>
      <c r="I553" t="s">
        <v>1134</v>
      </c>
      <c r="J553" s="48">
        <f>SUM(J551:J552)</f>
        <v>10100</v>
      </c>
      <c r="K553" s="48">
        <f>SUM(K551:K552)</f>
        <v>271.42857142857144</v>
      </c>
      <c r="L553" s="48">
        <f>SUM(L551:L552)</f>
        <v>97.689075630252091</v>
      </c>
    </row>
    <row r="554" spans="4:12" x14ac:dyDescent="0.35">
      <c r="G554" s="73"/>
      <c r="H554" s="1"/>
      <c r="I554" t="s">
        <v>1142</v>
      </c>
      <c r="J554" s="27">
        <f>J553*0.00029307107</f>
        <v>2.9600178069999998</v>
      </c>
      <c r="K554" s="27">
        <f>K553*0.00029307107</f>
        <v>7.9547861857142854E-2</v>
      </c>
      <c r="L554" s="27">
        <f>L553*0.00029307107</f>
        <v>2.8629841922268903E-2</v>
      </c>
    </row>
    <row r="555" spans="4:12" x14ac:dyDescent="0.35">
      <c r="G555" s="73"/>
      <c r="H555" s="1"/>
      <c r="J555" s="27"/>
      <c r="K555" s="27"/>
      <c r="L555" s="27"/>
    </row>
    <row r="556" spans="4:12" x14ac:dyDescent="0.35">
      <c r="F556" t="s">
        <v>1257</v>
      </c>
      <c r="G556" s="73"/>
      <c r="I556" t="s">
        <v>4</v>
      </c>
      <c r="J556" s="20">
        <f>J551*0.00029307107*1000</f>
        <v>1758.42642</v>
      </c>
      <c r="K556" s="20">
        <f>K551*0.00029307107*1000</f>
        <v>73.267767499999991</v>
      </c>
      <c r="L556" s="20">
        <f>L551*0.00029307107*1000</f>
        <v>12.929606029411765</v>
      </c>
    </row>
    <row r="557" spans="4:12" x14ac:dyDescent="0.35">
      <c r="G557" s="73"/>
      <c r="I557" s="73" t="s">
        <v>1786</v>
      </c>
      <c r="J557" s="27">
        <f>J556/J544</f>
        <v>4.8845178333333337</v>
      </c>
      <c r="K557" s="27">
        <f>K556/K544</f>
        <v>4.8845178333333328</v>
      </c>
      <c r="L557" s="27">
        <f>L556/L544</f>
        <v>0.86197373529411769</v>
      </c>
    </row>
    <row r="558" spans="4:12" x14ac:dyDescent="0.35">
      <c r="G558" s="73"/>
      <c r="I558" s="73"/>
      <c r="J558" s="27"/>
      <c r="K558" s="27"/>
      <c r="L558" s="27"/>
    </row>
    <row r="559" spans="4:12" x14ac:dyDescent="0.35">
      <c r="F559" t="s">
        <v>2678</v>
      </c>
      <c r="G559" s="73"/>
      <c r="I559" t="s">
        <v>4</v>
      </c>
      <c r="J559" s="20">
        <f>J552*0.00029307107*1000</f>
        <v>1201.5913869999999</v>
      </c>
      <c r="K559" s="20">
        <f>K552*0.00029307107*1000</f>
        <v>6.2800943571428567</v>
      </c>
      <c r="L559" s="20">
        <f>L552*0.00029307107*1000</f>
        <v>15.700235892857142</v>
      </c>
    </row>
    <row r="560" spans="4:12" x14ac:dyDescent="0.35">
      <c r="G560" s="73"/>
      <c r="H560" s="15"/>
      <c r="I560" s="73" t="s">
        <v>1786</v>
      </c>
      <c r="J560" s="27">
        <f>J559/J545</f>
        <v>0.73267767499999992</v>
      </c>
      <c r="K560" s="27">
        <f>K559/K545</f>
        <v>0.41867295714285713</v>
      </c>
      <c r="L560" s="27">
        <f>L559/L545</f>
        <v>1.0466823928571427</v>
      </c>
    </row>
    <row r="561" spans="4:14" x14ac:dyDescent="0.35">
      <c r="G561" s="73"/>
      <c r="H561" s="15"/>
      <c r="I561" s="73"/>
      <c r="J561" s="27"/>
      <c r="K561" s="27"/>
      <c r="L561" s="27"/>
    </row>
    <row r="562" spans="4:14" x14ac:dyDescent="0.35">
      <c r="D562" t="s">
        <v>2682</v>
      </c>
      <c r="F562" t="s">
        <v>2679</v>
      </c>
      <c r="G562" s="73"/>
      <c r="H562" s="15"/>
      <c r="I562" t="s">
        <v>1143</v>
      </c>
      <c r="J562" s="43">
        <f t="shared" ref="J562:L563" si="19">J551*0.00029307107*24</f>
        <v>42.202234079999997</v>
      </c>
      <c r="K562" s="43">
        <f t="shared" si="19"/>
        <v>1.7584264199999999</v>
      </c>
      <c r="L562" s="43">
        <f t="shared" si="19"/>
        <v>0.31031054470588237</v>
      </c>
    </row>
    <row r="563" spans="4:14" x14ac:dyDescent="0.35">
      <c r="F563" t="s">
        <v>2680</v>
      </c>
      <c r="G563" s="73"/>
      <c r="H563" s="15"/>
      <c r="I563" s="4" t="s">
        <v>1143</v>
      </c>
      <c r="J563" s="230">
        <f t="shared" si="19"/>
        <v>28.838193287999999</v>
      </c>
      <c r="K563" s="230">
        <f t="shared" si="19"/>
        <v>0.15072226457142857</v>
      </c>
      <c r="L563" s="230">
        <f t="shared" si="19"/>
        <v>0.37680566142857141</v>
      </c>
    </row>
    <row r="564" spans="4:14" x14ac:dyDescent="0.35">
      <c r="G564" s="73" t="s">
        <v>2676</v>
      </c>
      <c r="H564" s="15"/>
      <c r="I564" t="s">
        <v>1143</v>
      </c>
      <c r="J564" s="54">
        <f>J554*24</f>
        <v>71.040427367999996</v>
      </c>
      <c r="K564" s="54">
        <f>K554*24</f>
        <v>1.9091486845714285</v>
      </c>
      <c r="L564" s="54">
        <f>L554*24</f>
        <v>0.68711620613445368</v>
      </c>
    </row>
    <row r="565" spans="4:14" x14ac:dyDescent="0.35">
      <c r="G565" s="73"/>
      <c r="H565" s="15"/>
      <c r="I565" t="s">
        <v>1127</v>
      </c>
      <c r="J565" s="48">
        <f>J564/ 0.000293</f>
        <v>242458.79647781566</v>
      </c>
      <c r="K565" s="48">
        <f>K564/ 0.000293</f>
        <v>6515.8658176499266</v>
      </c>
      <c r="L565" s="48">
        <f>L564/ 0.000293</f>
        <v>2345.1065055783401</v>
      </c>
    </row>
    <row r="566" spans="4:14" x14ac:dyDescent="0.35">
      <c r="G566" s="73"/>
      <c r="H566" s="15"/>
      <c r="J566" s="48"/>
      <c r="K566" s="48"/>
      <c r="L566" s="48"/>
    </row>
    <row r="567" spans="4:14" x14ac:dyDescent="0.35">
      <c r="D567" t="s">
        <v>2692</v>
      </c>
      <c r="F567" t="s">
        <v>2693</v>
      </c>
      <c r="G567" s="73"/>
      <c r="H567" s="15"/>
      <c r="I567" t="s">
        <v>1262</v>
      </c>
      <c r="J567" s="48">
        <f>J562*30</f>
        <v>1266.0670223999998</v>
      </c>
      <c r="K567" s="48">
        <f t="shared" ref="K567:L567" si="20">K562*30</f>
        <v>52.752792599999999</v>
      </c>
      <c r="L567" s="48">
        <f t="shared" si="20"/>
        <v>9.309316341176471</v>
      </c>
    </row>
    <row r="568" spans="4:14" x14ac:dyDescent="0.35">
      <c r="F568" t="s">
        <v>2694</v>
      </c>
      <c r="G568" s="73"/>
      <c r="H568" s="15"/>
      <c r="I568" s="4" t="s">
        <v>1262</v>
      </c>
      <c r="J568" s="231">
        <f>J563*30</f>
        <v>865.14579863999995</v>
      </c>
      <c r="K568" s="231">
        <f t="shared" ref="K568:L568" si="21">K563*30</f>
        <v>4.5216679371428565</v>
      </c>
      <c r="L568" s="231">
        <f t="shared" si="21"/>
        <v>11.304169842857142</v>
      </c>
    </row>
    <row r="569" spans="4:14" x14ac:dyDescent="0.35">
      <c r="G569" s="73" t="s">
        <v>2676</v>
      </c>
      <c r="H569" s="15"/>
      <c r="I569" t="s">
        <v>1262</v>
      </c>
      <c r="J569" s="48">
        <f>SUM(J567:J568)</f>
        <v>2131.2128210399997</v>
      </c>
      <c r="K569" s="48">
        <f>SUM(K567:K568)</f>
        <v>57.274460537142858</v>
      </c>
      <c r="L569" s="48">
        <f>SUM(L567:L568)</f>
        <v>20.613486184033611</v>
      </c>
    </row>
    <row r="570" spans="4:14" x14ac:dyDescent="0.35">
      <c r="G570" s="73"/>
      <c r="H570" s="15"/>
      <c r="J570" s="48"/>
      <c r="K570" s="48"/>
      <c r="L570" s="48"/>
    </row>
    <row r="571" spans="4:14" x14ac:dyDescent="0.35">
      <c r="F571" t="s">
        <v>2693</v>
      </c>
      <c r="G571" s="73"/>
      <c r="H571" s="15"/>
      <c r="I571" t="s">
        <v>2695</v>
      </c>
      <c r="J571" s="48">
        <f>0.001*J567/ 0.000293</f>
        <v>4321.0478580204772</v>
      </c>
      <c r="K571" s="48">
        <f t="shared" ref="K571:L571" si="22">0.001*K567/ 0.000293</f>
        <v>180.04366075085323</v>
      </c>
      <c r="L571" s="48">
        <f t="shared" si="22"/>
        <v>31.772410720738804</v>
      </c>
    </row>
    <row r="572" spans="4:14" x14ac:dyDescent="0.35">
      <c r="F572" t="s">
        <v>2694</v>
      </c>
      <c r="G572" s="73"/>
      <c r="H572" s="15"/>
      <c r="I572" s="4" t="s">
        <v>2695</v>
      </c>
      <c r="J572" s="231">
        <f t="shared" ref="J572:L572" si="23">0.001*J568/ 0.000293</f>
        <v>2952.7160363139928</v>
      </c>
      <c r="K572" s="231">
        <f t="shared" si="23"/>
        <v>15.432313778644559</v>
      </c>
      <c r="L572" s="231">
        <f t="shared" si="23"/>
        <v>38.580784446611403</v>
      </c>
    </row>
    <row r="573" spans="4:14" x14ac:dyDescent="0.35">
      <c r="G573" s="73" t="s">
        <v>2676</v>
      </c>
      <c r="H573" s="15"/>
      <c r="I573" t="s">
        <v>2695</v>
      </c>
      <c r="J573" s="48">
        <f t="shared" ref="J573:L573" si="24">SUM(J571:J572)</f>
        <v>7273.76389433447</v>
      </c>
      <c r="K573" s="48">
        <f t="shared" si="24"/>
        <v>195.47597452949779</v>
      </c>
      <c r="L573" s="48">
        <f t="shared" si="24"/>
        <v>70.353195167350208</v>
      </c>
    </row>
    <row r="574" spans="4:14" x14ac:dyDescent="0.35">
      <c r="G574" s="73"/>
      <c r="H574" s="15"/>
      <c r="J574" s="48"/>
      <c r="K574" s="48"/>
      <c r="L574" s="48"/>
    </row>
    <row r="575" spans="4:14" x14ac:dyDescent="0.35">
      <c r="D575" t="s">
        <v>2686</v>
      </c>
      <c r="F575" t="s">
        <v>1816</v>
      </c>
      <c r="G575" s="73"/>
      <c r="H575" s="15"/>
      <c r="I575" t="s">
        <v>1817</v>
      </c>
      <c r="J575" s="8">
        <v>0.2</v>
      </c>
      <c r="K575" s="8">
        <v>0.2</v>
      </c>
      <c r="L575" s="8">
        <v>0.2</v>
      </c>
      <c r="N575" t="s">
        <v>2697</v>
      </c>
    </row>
    <row r="576" spans="4:14" x14ac:dyDescent="0.35">
      <c r="D576" t="s">
        <v>2687</v>
      </c>
      <c r="G576" s="73"/>
      <c r="H576" s="15"/>
      <c r="J576" s="8"/>
      <c r="K576" s="8"/>
      <c r="L576" s="8"/>
    </row>
    <row r="577" spans="1:14" x14ac:dyDescent="0.35">
      <c r="D577" t="s">
        <v>2683</v>
      </c>
      <c r="F577" t="s">
        <v>2702</v>
      </c>
      <c r="G577" s="73"/>
      <c r="H577" s="15"/>
      <c r="I577" s="155" t="s">
        <v>2685</v>
      </c>
      <c r="J577" s="124">
        <f>J567*J575</f>
        <v>253.21340447999998</v>
      </c>
      <c r="K577" s="99">
        <f>K567*K575</f>
        <v>10.550558520000001</v>
      </c>
      <c r="L577" s="99">
        <f>L567*L575</f>
        <v>1.8618632682352942</v>
      </c>
    </row>
    <row r="578" spans="1:14" x14ac:dyDescent="0.35">
      <c r="D578" t="s">
        <v>2684</v>
      </c>
      <c r="F578" t="s">
        <v>2703</v>
      </c>
      <c r="I578" s="232" t="s">
        <v>2685</v>
      </c>
      <c r="J578" s="233">
        <f>J568*J575</f>
        <v>173.029159728</v>
      </c>
      <c r="K578" s="235">
        <f>K568*K575</f>
        <v>0.90433358742857139</v>
      </c>
      <c r="L578" s="235">
        <f>L568*L575</f>
        <v>2.2608339685714287</v>
      </c>
    </row>
    <row r="579" spans="1:14" x14ac:dyDescent="0.35">
      <c r="G579" s="73" t="s">
        <v>2676</v>
      </c>
      <c r="H579" s="15"/>
      <c r="I579" t="s">
        <v>2685</v>
      </c>
      <c r="J579" s="234">
        <f>SUM(J577:J578)</f>
        <v>426.24256420799998</v>
      </c>
      <c r="K579" s="99">
        <f>SUM(K577:K578)</f>
        <v>11.454892107428572</v>
      </c>
      <c r="L579" s="99">
        <f>SUM(L577:L578)</f>
        <v>4.1226972368067232</v>
      </c>
    </row>
    <row r="581" spans="1:14" x14ac:dyDescent="0.35">
      <c r="D581" t="s">
        <v>2686</v>
      </c>
      <c r="F581" t="s">
        <v>2699</v>
      </c>
      <c r="I581" t="s">
        <v>2700</v>
      </c>
      <c r="J581" s="236">
        <f>1000*14.71/1000000</f>
        <v>1.4710000000000001E-2</v>
      </c>
      <c r="K581" s="236">
        <f t="shared" ref="K581:L581" si="25">1000*14.71/1000000</f>
        <v>1.4710000000000001E-2</v>
      </c>
      <c r="L581" s="236">
        <f t="shared" si="25"/>
        <v>1.4710000000000001E-2</v>
      </c>
      <c r="N581" s="1" t="s">
        <v>2696</v>
      </c>
    </row>
    <row r="582" spans="1:14" x14ac:dyDescent="0.35">
      <c r="D582" t="s">
        <v>2701</v>
      </c>
      <c r="N582" s="1" t="s">
        <v>2698</v>
      </c>
    </row>
    <row r="583" spans="1:14" x14ac:dyDescent="0.35">
      <c r="F583" t="s">
        <v>2704</v>
      </c>
      <c r="G583" s="73"/>
      <c r="I583" s="155" t="s">
        <v>2685</v>
      </c>
      <c r="J583" s="124">
        <f t="shared" ref="J583:L584" si="26">J$581*J571</f>
        <v>63.562613991481221</v>
      </c>
      <c r="K583" s="99">
        <f t="shared" si="26"/>
        <v>2.648442249645051</v>
      </c>
      <c r="L583" s="99">
        <f t="shared" si="26"/>
        <v>0.46737216170206786</v>
      </c>
    </row>
    <row r="584" spans="1:14" x14ac:dyDescent="0.35">
      <c r="F584" t="s">
        <v>2705</v>
      </c>
      <c r="I584" s="232" t="s">
        <v>2685</v>
      </c>
      <c r="J584" s="233">
        <f t="shared" si="26"/>
        <v>43.43445289417884</v>
      </c>
      <c r="K584" s="235">
        <f t="shared" si="26"/>
        <v>0.22700933568386147</v>
      </c>
      <c r="L584" s="235">
        <f t="shared" si="26"/>
        <v>0.56752333920965381</v>
      </c>
    </row>
    <row r="585" spans="1:14" x14ac:dyDescent="0.35">
      <c r="H585" s="73" t="s">
        <v>2676</v>
      </c>
      <c r="J585" t="s">
        <v>2685</v>
      </c>
      <c r="K585" s="234">
        <f>SUM(J583:J584)</f>
        <v>106.99706688566006</v>
      </c>
      <c r="L585" s="99">
        <f>SUM(K583:K584)</f>
        <v>2.8754515853289124</v>
      </c>
      <c r="M585" s="99">
        <f>SUM(L583:L584)</f>
        <v>1.0348955009117216</v>
      </c>
    </row>
    <row r="587" spans="1:14" s="5" customFormat="1" x14ac:dyDescent="0.35">
      <c r="A587" s="86" t="s">
        <v>651</v>
      </c>
      <c r="B587" s="84"/>
    </row>
    <row r="588" spans="1:14" x14ac:dyDescent="0.35">
      <c r="A588" s="87"/>
      <c r="B588" s="83"/>
    </row>
    <row r="589" spans="1:14" x14ac:dyDescent="0.35">
      <c r="A589" s="87"/>
      <c r="B589" s="83" t="s">
        <v>97</v>
      </c>
      <c r="F589" t="s">
        <v>49</v>
      </c>
    </row>
    <row r="590" spans="1:14" x14ac:dyDescent="0.35">
      <c r="A590" s="87"/>
      <c r="B590" s="83"/>
    </row>
    <row r="591" spans="1:14" x14ac:dyDescent="0.35">
      <c r="A591" s="87"/>
      <c r="D591" t="s">
        <v>64</v>
      </c>
      <c r="G591" t="s">
        <v>2</v>
      </c>
      <c r="H591">
        <v>24</v>
      </c>
      <c r="J591" t="s">
        <v>98</v>
      </c>
      <c r="L591" t="s">
        <v>70</v>
      </c>
    </row>
    <row r="592" spans="1:14" x14ac:dyDescent="0.35">
      <c r="A592" s="87"/>
      <c r="B592" s="83"/>
      <c r="D592" t="s">
        <v>35</v>
      </c>
      <c r="G592" t="s">
        <v>5</v>
      </c>
      <c r="H592">
        <v>1</v>
      </c>
      <c r="J592" t="s">
        <v>99</v>
      </c>
      <c r="L592" t="s">
        <v>72</v>
      </c>
    </row>
    <row r="593" spans="1:13" x14ac:dyDescent="0.35">
      <c r="A593" s="87"/>
      <c r="B593" s="83"/>
      <c r="D593" t="s">
        <v>65</v>
      </c>
      <c r="G593" t="s">
        <v>4</v>
      </c>
      <c r="H593">
        <f>H591*H592</f>
        <v>24</v>
      </c>
      <c r="J593" t="s">
        <v>71</v>
      </c>
      <c r="L593" s="1" t="s">
        <v>50</v>
      </c>
      <c r="M593" t="s">
        <v>0</v>
      </c>
    </row>
    <row r="594" spans="1:13" x14ac:dyDescent="0.35">
      <c r="A594" s="87"/>
      <c r="B594" s="83"/>
      <c r="D594" t="s">
        <v>66</v>
      </c>
      <c r="G594" t="s">
        <v>69</v>
      </c>
      <c r="H594">
        <v>67</v>
      </c>
    </row>
    <row r="595" spans="1:13" x14ac:dyDescent="0.35">
      <c r="A595" s="87"/>
      <c r="B595" s="83"/>
      <c r="G595" t="s">
        <v>67</v>
      </c>
      <c r="H595" s="15">
        <f>H594/2.2</f>
        <v>30.454545454545453</v>
      </c>
    </row>
    <row r="596" spans="1:13" x14ac:dyDescent="0.35">
      <c r="A596" s="87"/>
      <c r="B596" s="83"/>
      <c r="D596" t="s">
        <v>85</v>
      </c>
      <c r="G596" t="s">
        <v>68</v>
      </c>
      <c r="H596">
        <v>1</v>
      </c>
    </row>
    <row r="597" spans="1:13" x14ac:dyDescent="0.35">
      <c r="A597" s="87"/>
      <c r="B597" s="83"/>
    </row>
    <row r="598" spans="1:13" x14ac:dyDescent="0.35">
      <c r="A598" s="87"/>
      <c r="B598" s="83" t="s">
        <v>73</v>
      </c>
      <c r="D598" t="s">
        <v>64</v>
      </c>
      <c r="G598" t="s">
        <v>2</v>
      </c>
      <c r="H598" s="13">
        <f>BuildingBus!I194</f>
        <v>3.6010495999999996</v>
      </c>
      <c r="I598" s="13">
        <f>H598</f>
        <v>3.6010495999999996</v>
      </c>
      <c r="J598" s="13">
        <f>I598</f>
        <v>3.6010495999999996</v>
      </c>
    </row>
    <row r="599" spans="1:13" x14ac:dyDescent="0.35">
      <c r="A599" s="87"/>
      <c r="B599" s="83"/>
      <c r="D599" t="s">
        <v>35</v>
      </c>
      <c r="G599" t="s">
        <v>5</v>
      </c>
      <c r="H599">
        <f>BuildingBus!I173</f>
        <v>6.25E-2</v>
      </c>
      <c r="I599">
        <v>0.25</v>
      </c>
      <c r="J599">
        <v>0.25</v>
      </c>
    </row>
    <row r="600" spans="1:13" x14ac:dyDescent="0.35">
      <c r="A600" s="87"/>
      <c r="B600" s="83"/>
      <c r="D600" t="s">
        <v>65</v>
      </c>
      <c r="G600" t="s">
        <v>4</v>
      </c>
      <c r="H600" s="13">
        <f>H598*H599</f>
        <v>0.22506559999999998</v>
      </c>
      <c r="I600" s="13">
        <f>I598*I599</f>
        <v>0.90026239999999991</v>
      </c>
      <c r="J600" s="13">
        <f>J598*J599</f>
        <v>0.90026239999999991</v>
      </c>
    </row>
    <row r="601" spans="1:13" x14ac:dyDescent="0.35">
      <c r="A601" s="87"/>
      <c r="B601" s="83"/>
      <c r="D601" t="s">
        <v>66</v>
      </c>
      <c r="G601" t="s">
        <v>69</v>
      </c>
      <c r="H601">
        <f>H594</f>
        <v>67</v>
      </c>
      <c r="I601" s="15">
        <f>H601/4</f>
        <v>16.75</v>
      </c>
      <c r="J601" s="15">
        <v>30</v>
      </c>
    </row>
    <row r="602" spans="1:13" x14ac:dyDescent="0.35">
      <c r="A602" s="87"/>
      <c r="B602" s="83"/>
      <c r="G602" t="s">
        <v>67</v>
      </c>
      <c r="H602" s="15">
        <f>H595</f>
        <v>30.454545454545453</v>
      </c>
      <c r="I602" s="15">
        <f>H602/4</f>
        <v>7.6136363636363633</v>
      </c>
      <c r="J602" s="15">
        <f>I602/4</f>
        <v>1.9034090909090908</v>
      </c>
    </row>
    <row r="603" spans="1:13" x14ac:dyDescent="0.35">
      <c r="A603" s="87"/>
      <c r="B603" s="83"/>
      <c r="D603" t="s">
        <v>85</v>
      </c>
      <c r="G603" t="s">
        <v>68</v>
      </c>
      <c r="H603" s="10">
        <f>(H600/$H593)*$H596*$H594/H601</f>
        <v>9.3777333333333324E-3</v>
      </c>
      <c r="I603" s="10">
        <f>(I600/$H593)*$H596*$H594/I601</f>
        <v>0.15004373333333332</v>
      </c>
      <c r="J603" s="10">
        <f>(J600/$H593)*$H596*$H594/J601</f>
        <v>8.3774417777777763E-2</v>
      </c>
    </row>
    <row r="604" spans="1:13" x14ac:dyDescent="0.35">
      <c r="A604" s="87"/>
      <c r="B604" s="83"/>
      <c r="D604" t="s">
        <v>169</v>
      </c>
      <c r="G604" t="s">
        <v>68</v>
      </c>
      <c r="H604" s="15">
        <v>40</v>
      </c>
      <c r="I604" s="15">
        <v>20</v>
      </c>
      <c r="J604" s="15">
        <v>10</v>
      </c>
    </row>
    <row r="605" spans="1:13" x14ac:dyDescent="0.35">
      <c r="A605" s="87"/>
      <c r="B605" s="83"/>
      <c r="D605" t="s">
        <v>170</v>
      </c>
      <c r="G605" t="s">
        <v>86</v>
      </c>
      <c r="H605" s="15">
        <f>H604/H603</f>
        <v>4265.423058877057</v>
      </c>
      <c r="I605" s="15">
        <f>I604/I603</f>
        <v>133.29447058990803</v>
      </c>
      <c r="J605" s="15">
        <f>J604/J603</f>
        <v>119.36818261782808</v>
      </c>
    </row>
    <row r="606" spans="1:13" x14ac:dyDescent="0.35">
      <c r="A606" s="87"/>
      <c r="B606" s="83"/>
      <c r="H606" s="15"/>
      <c r="I606" s="15"/>
      <c r="J606" s="15"/>
    </row>
    <row r="607" spans="1:13" s="5" customFormat="1" x14ac:dyDescent="0.35">
      <c r="A607" s="86" t="s">
        <v>9302</v>
      </c>
    </row>
    <row r="609" spans="2:15" x14ac:dyDescent="0.35">
      <c r="B609" s="83" t="s">
        <v>9303</v>
      </c>
      <c r="D609" t="s">
        <v>9304</v>
      </c>
      <c r="H609" t="s">
        <v>9305</v>
      </c>
      <c r="I609" t="s">
        <v>9306</v>
      </c>
      <c r="O609" t="s">
        <v>9308</v>
      </c>
    </row>
    <row r="610" spans="2:15" x14ac:dyDescent="0.35">
      <c r="B610" s="83"/>
      <c r="I610" t="s">
        <v>9307</v>
      </c>
    </row>
    <row r="611" spans="2:15" x14ac:dyDescent="0.35">
      <c r="B611" s="83"/>
      <c r="D611" t="s">
        <v>9309</v>
      </c>
    </row>
    <row r="612" spans="2:15" x14ac:dyDescent="0.35">
      <c r="D612" t="s">
        <v>9310</v>
      </c>
    </row>
    <row r="613" spans="2:15" x14ac:dyDescent="0.35">
      <c r="D613" t="s">
        <v>9311</v>
      </c>
    </row>
    <row r="614" spans="2:15" x14ac:dyDescent="0.35">
      <c r="D614" t="s">
        <v>9312</v>
      </c>
    </row>
    <row r="615" spans="2:15" x14ac:dyDescent="0.35">
      <c r="D615" t="s">
        <v>9313</v>
      </c>
    </row>
    <row r="616" spans="2:15" x14ac:dyDescent="0.35">
      <c r="D616" t="s">
        <v>9314</v>
      </c>
    </row>
  </sheetData>
  <hyperlinks>
    <hyperlink ref="K3" r:id="rId1"/>
    <hyperlink ref="K4" r:id="rId2"/>
    <hyperlink ref="K6" r:id="rId3"/>
    <hyperlink ref="K7" r:id="rId4"/>
    <hyperlink ref="K8" r:id="rId5"/>
    <hyperlink ref="K9" r:id="rId6"/>
    <hyperlink ref="K10" r:id="rId7"/>
    <hyperlink ref="K11" r:id="rId8"/>
    <hyperlink ref="K13" r:id="rId9" display="https://buildingscience.com/sites/default/files/migrate/pdf/BA-1005_High R-Value_Walls_Case_Study.pdf"/>
    <hyperlink ref="N261" r:id="rId10" display="http://aidomes.com/insulation-comparisons/"/>
    <hyperlink ref="K14" r:id="rId11"/>
    <hyperlink ref="E136" r:id="rId12"/>
    <hyperlink ref="E137" r:id="rId13"/>
    <hyperlink ref="K15" r:id="rId14"/>
    <hyperlink ref="K16" r:id="rId15"/>
    <hyperlink ref="K17" r:id="rId16"/>
    <hyperlink ref="K18" r:id="rId17"/>
    <hyperlink ref="K19" r:id="rId18"/>
    <hyperlink ref="K20" r:id="rId19"/>
    <hyperlink ref="E271" r:id="rId20"/>
    <hyperlink ref="K21" r:id="rId21"/>
    <hyperlink ref="K22" r:id="rId22"/>
    <hyperlink ref="F271" r:id="rId23"/>
    <hyperlink ref="M276" r:id="rId24"/>
    <hyperlink ref="F340" r:id="rId25"/>
    <hyperlink ref="J271" r:id="rId26"/>
    <hyperlink ref="K345" r:id="rId27"/>
    <hyperlink ref="K346" r:id="rId28"/>
    <hyperlink ref="K347" r:id="rId29"/>
    <hyperlink ref="K348" r:id="rId30"/>
    <hyperlink ref="K349" r:id="rId31"/>
    <hyperlink ref="K381" r:id="rId32"/>
    <hyperlink ref="K350" r:id="rId33"/>
    <hyperlink ref="K351" r:id="rId34"/>
    <hyperlink ref="K384" r:id="rId35"/>
    <hyperlink ref="D271" r:id="rId36"/>
    <hyperlink ref="L267" r:id="rId37"/>
    <hyperlink ref="H271" r:id="rId38"/>
    <hyperlink ref="K23" r:id="rId39"/>
    <hyperlink ref="K482" r:id="rId40"/>
    <hyperlink ref="K483" r:id="rId41"/>
    <hyperlink ref="K484" r:id="rId42"/>
    <hyperlink ref="K485" r:id="rId43"/>
    <hyperlink ref="K486" r:id="rId44"/>
    <hyperlink ref="K393" r:id="rId45"/>
    <hyperlink ref="K24" r:id="rId46"/>
    <hyperlink ref="K25" r:id="rId47"/>
    <hyperlink ref="K26" r:id="rId48"/>
    <hyperlink ref="K42" r:id="rId49"/>
    <hyperlink ref="K43" r:id="rId50"/>
    <hyperlink ref="K44" r:id="rId51"/>
    <hyperlink ref="K102" r:id="rId52"/>
    <hyperlink ref="K27" r:id="rId53"/>
    <hyperlink ref="K28" r:id="rId54"/>
    <hyperlink ref="K93" r:id="rId55"/>
    <hyperlink ref="F179" r:id="rId56"/>
    <hyperlink ref="N155" r:id="rId57"/>
    <hyperlink ref="F211" r:id="rId58"/>
    <hyperlink ref="K45" r:id="rId59"/>
    <hyperlink ref="I284" r:id="rId60"/>
    <hyperlink ref="B77" r:id="rId61" display="mailto:sales@123zeroenergy.com"/>
    <hyperlink ref="K81" r:id="rId62"/>
    <hyperlink ref="K82" r:id="rId63"/>
    <hyperlink ref="K83" r:id="rId64"/>
    <hyperlink ref="K88" r:id="rId65"/>
    <hyperlink ref="K84" r:id="rId66"/>
    <hyperlink ref="O249" r:id="rId67" display="https://www.homedepot.com/p/Owens-Corning-R-38-EcoTouch-PINK-Kraft-Faced-Fiberglass-Insulation-Batt-16-in-x-48-in-ME25/100320348"/>
    <hyperlink ref="N241" r:id="rId68" display="https://images.homedepot-static.com/catalog/pdfImages/27/27925d38-5f6f-479b-bff2-97c76c4c60e3.pdf"/>
    <hyperlink ref="N249" r:id="rId69"/>
    <hyperlink ref="N250" r:id="rId70"/>
    <hyperlink ref="N243" r:id="rId71"/>
    <hyperlink ref="N244" r:id="rId72" display="https://dcpd6wotaa0mb.cloudfront.net/mdms/dms/Residential Insulation/18142/18142-EcoTouch-Flame-Spread-25-Product-Data-Sheet.pdf?v=1531982898000"/>
    <hyperlink ref="N245" r:id="rId73"/>
    <hyperlink ref="D421" r:id="rId74"/>
    <hyperlink ref="D422" r:id="rId75"/>
    <hyperlink ref="D423" r:id="rId76"/>
    <hyperlink ref="K33" r:id="rId77"/>
    <hyperlink ref="T40" r:id="rId78" display="https://www.youtube.com/watch?v=st-Gd1ZcFyM&amp;t=325s"/>
    <hyperlink ref="K34" r:id="rId79" location="Definitions" display="https://en.wikipedia.org/wiki/Zero-energy_building - Definitions"/>
    <hyperlink ref="K103" r:id="rId80"/>
    <hyperlink ref="K104" r:id="rId81" location="Definitions" display="https://en.wikipedia.org/wiki/Zero-energy_building - Definitions"/>
    <hyperlink ref="K487" r:id="rId82"/>
    <hyperlink ref="K488" r:id="rId83"/>
    <hyperlink ref="K489" r:id="rId84"/>
    <hyperlink ref="K29" r:id="rId85"/>
    <hyperlink ref="K118" r:id="rId86"/>
    <hyperlink ref="K119" r:id="rId87"/>
    <hyperlink ref="P427" r:id="rId88"/>
    <hyperlink ref="P428" r:id="rId89"/>
    <hyperlink ref="K35" r:id="rId90"/>
    <hyperlink ref="T31" r:id="rId91" display="https://www.youtube.com/watch?v=st-Gd1ZcFyM&amp;t=325s"/>
    <hyperlink ref="K46" r:id="rId92"/>
    <hyperlink ref="G305" r:id="rId93"/>
    <hyperlink ref="G306" r:id="rId94"/>
    <hyperlink ref="G307" r:id="rId95"/>
    <hyperlink ref="J326" r:id="rId96"/>
    <hyperlink ref="K37" r:id="rId97"/>
    <hyperlink ref="K51" r:id="rId98"/>
    <hyperlink ref="K50" r:id="rId99"/>
    <hyperlink ref="K52" r:id="rId100"/>
    <hyperlink ref="N581" r:id="rId101"/>
    <hyperlink ref="N582" r:id="rId102"/>
    <hyperlink ref="K523" r:id="rId103"/>
    <hyperlink ref="L593" r:id="rId104"/>
    <hyperlink ref="K433" r:id="rId105"/>
    <hyperlink ref="K438" r:id="rId106"/>
    <hyperlink ref="K439" r:id="rId107"/>
    <hyperlink ref="K440" r:id="rId108" display="https://beg-russia.ru/upload/iblock/350/Application description KNX blind actuators.pdf"/>
    <hyperlink ref="K521" r:id="rId109"/>
    <hyperlink ref="P521" r:id="rId110"/>
    <hyperlink ref="K527" r:id="rId111"/>
    <hyperlink ref="K526" r:id="rId112"/>
    <hyperlink ref="K528" r:id="rId113" display="http://mft.becker-antriebe.com:5600/folder/smi en.pdf"/>
    <hyperlink ref="K443" r:id="rId114"/>
    <hyperlink ref="K449" r:id="rId115"/>
    <hyperlink ref="K446" r:id="rId116"/>
    <hyperlink ref="K453" r:id="rId117" location="BACnet_objects" display="https://en.wikipedia.org/wiki/BACnet - BACnet_objects"/>
    <hyperlink ref="K454" r:id="rId118"/>
    <hyperlink ref="K450" r:id="rId119"/>
    <hyperlink ref="K519" r:id="rId120"/>
    <hyperlink ref="K510" r:id="rId121"/>
    <hyperlink ref="K509" r:id="rId122"/>
    <hyperlink ref="K508" r:id="rId123"/>
    <hyperlink ref="K507" r:id="rId124"/>
    <hyperlink ref="K505" r:id="rId125"/>
    <hyperlink ref="K504" r:id="rId126"/>
    <hyperlink ref="K502" r:id="rId127"/>
    <hyperlink ref="K512" r:id="rId128"/>
    <hyperlink ref="K513" r:id="rId129"/>
    <hyperlink ref="K514" r:id="rId130"/>
    <hyperlink ref="K515" r:id="rId131"/>
    <hyperlink ref="K493" r:id="rId132"/>
    <hyperlink ref="K516" r:id="rId133"/>
    <hyperlink ref="K494" r:id="rId134"/>
    <hyperlink ref="K495" r:id="rId135"/>
    <hyperlink ref="K496" r:id="rId136"/>
    <hyperlink ref="K497" r:id="rId137"/>
    <hyperlink ref="K498" r:id="rId138"/>
    <hyperlink ref="K517" r:id="rId139"/>
  </hyperlinks>
  <pageMargins left="0.7" right="0.7" top="0.75" bottom="0.75" header="0.3" footer="0.3"/>
  <pageSetup orientation="portrait" r:id="rId140"/>
  <ignoredErrors>
    <ignoredError sqref="J15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4"/>
  <sheetViews>
    <sheetView workbookViewId="0">
      <selection activeCell="M14" sqref="M14"/>
    </sheetView>
  </sheetViews>
  <sheetFormatPr defaultRowHeight="14.5" x14ac:dyDescent="0.35"/>
  <sheetData>
    <row r="1" spans="1:17" s="5" customFormat="1" x14ac:dyDescent="0.35">
      <c r="A1" s="86" t="s">
        <v>2947</v>
      </c>
      <c r="B1" s="84"/>
    </row>
    <row r="3" spans="1:17" x14ac:dyDescent="0.35">
      <c r="B3" s="83" t="s">
        <v>8324</v>
      </c>
      <c r="D3" s="294" t="s">
        <v>2946</v>
      </c>
      <c r="Q3" s="971" t="s">
        <v>2946</v>
      </c>
    </row>
    <row r="4" spans="1:17" x14ac:dyDescent="0.35">
      <c r="D4" s="294" t="s">
        <v>2945</v>
      </c>
      <c r="Q4" s="971" t="s">
        <v>2945</v>
      </c>
    </row>
    <row r="5" spans="1:17" x14ac:dyDescent="0.35">
      <c r="D5" s="294" t="s">
        <v>8325</v>
      </c>
      <c r="Q5" s="971" t="s">
        <v>8325</v>
      </c>
    </row>
    <row r="6" spans="1:17" x14ac:dyDescent="0.35">
      <c r="B6" s="294"/>
      <c r="D6" s="294" t="s">
        <v>8867</v>
      </c>
      <c r="Q6" s="971" t="s">
        <v>9317</v>
      </c>
    </row>
    <row r="8" spans="1:17" s="5" customFormat="1" x14ac:dyDescent="0.35">
      <c r="A8" s="86" t="s">
        <v>2905</v>
      </c>
      <c r="B8" s="84"/>
    </row>
    <row r="9" spans="1:17" x14ac:dyDescent="0.35">
      <c r="A9" s="87"/>
      <c r="B9" s="83"/>
      <c r="E9" s="2"/>
      <c r="K9" s="1"/>
      <c r="M9" s="1"/>
    </row>
    <row r="10" spans="1:17" x14ac:dyDescent="0.35">
      <c r="A10" s="87"/>
      <c r="B10" s="83" t="s">
        <v>145</v>
      </c>
      <c r="D10" t="s">
        <v>2620</v>
      </c>
      <c r="E10" s="2"/>
      <c r="K10" s="1"/>
      <c r="M10" s="1"/>
    </row>
    <row r="11" spans="1:17" x14ac:dyDescent="0.35">
      <c r="A11" s="87"/>
      <c r="B11" s="83"/>
      <c r="D11" t="s">
        <v>2621</v>
      </c>
      <c r="E11" s="2"/>
      <c r="K11" s="1"/>
      <c r="M11" s="1"/>
    </row>
    <row r="12" spans="1:17" x14ac:dyDescent="0.35">
      <c r="A12" s="87"/>
      <c r="B12" s="83"/>
      <c r="D12" t="s">
        <v>2639</v>
      </c>
      <c r="E12" s="2"/>
      <c r="K12" s="1"/>
      <c r="M12" s="1"/>
    </row>
    <row r="13" spans="1:17" x14ac:dyDescent="0.35">
      <c r="A13" s="87"/>
      <c r="B13" s="83"/>
      <c r="D13" t="s">
        <v>2638</v>
      </c>
      <c r="E13" s="2"/>
      <c r="K13" s="1"/>
      <c r="M13" s="1"/>
    </row>
    <row r="14" spans="1:17" x14ac:dyDescent="0.35">
      <c r="A14" s="87"/>
      <c r="B14" s="83"/>
      <c r="E14" s="2"/>
      <c r="K14" s="1"/>
      <c r="M14" s="1"/>
    </row>
    <row r="15" spans="1:17" x14ac:dyDescent="0.35">
      <c r="A15" s="87"/>
      <c r="B15" s="83" t="s">
        <v>2625</v>
      </c>
      <c r="D15" t="s">
        <v>2640</v>
      </c>
      <c r="E15" s="2"/>
      <c r="K15" s="1"/>
      <c r="M15" s="1"/>
    </row>
    <row r="16" spans="1:17" x14ac:dyDescent="0.35">
      <c r="A16" s="87"/>
      <c r="B16" s="83"/>
      <c r="E16" s="2"/>
      <c r="K16" s="1"/>
      <c r="M16" s="1"/>
    </row>
    <row r="17" spans="1:21" x14ac:dyDescent="0.35">
      <c r="A17" s="87"/>
      <c r="B17" s="83"/>
      <c r="E17" t="s">
        <v>2642</v>
      </c>
      <c r="K17" s="1"/>
      <c r="M17" s="1"/>
    </row>
    <row r="18" spans="1:21" x14ac:dyDescent="0.35">
      <c r="A18" s="87"/>
      <c r="B18" s="83"/>
      <c r="E18" t="s">
        <v>2622</v>
      </c>
      <c r="K18" s="1"/>
      <c r="M18" s="1"/>
    </row>
    <row r="19" spans="1:21" x14ac:dyDescent="0.35">
      <c r="A19" s="87"/>
      <c r="B19" s="83"/>
      <c r="E19" t="s">
        <v>2623</v>
      </c>
      <c r="K19" s="1"/>
      <c r="M19" s="1"/>
    </row>
    <row r="20" spans="1:21" x14ac:dyDescent="0.35">
      <c r="A20" s="87"/>
      <c r="B20" s="83"/>
      <c r="E20" t="s">
        <v>2624</v>
      </c>
      <c r="K20" s="1"/>
      <c r="M20" s="1"/>
    </row>
    <row r="21" spans="1:21" x14ac:dyDescent="0.35">
      <c r="A21" s="87"/>
      <c r="B21" s="83"/>
      <c r="E21" t="s">
        <v>2641</v>
      </c>
      <c r="K21" s="1"/>
      <c r="M21" s="1"/>
    </row>
    <row r="22" spans="1:21" x14ac:dyDescent="0.35">
      <c r="A22" s="87"/>
      <c r="B22" s="83"/>
      <c r="E22" s="2"/>
      <c r="K22" s="1"/>
      <c r="M22" s="1"/>
    </row>
    <row r="23" spans="1:21" x14ac:dyDescent="0.35">
      <c r="A23" s="87"/>
      <c r="B23" s="83" t="s">
        <v>2619</v>
      </c>
      <c r="D23" t="s">
        <v>5191</v>
      </c>
      <c r="E23" s="2"/>
      <c r="K23" s="1"/>
      <c r="M23" s="1"/>
    </row>
    <row r="24" spans="1:21" x14ac:dyDescent="0.35">
      <c r="A24" s="87"/>
      <c r="B24" s="83"/>
      <c r="E24" s="2"/>
      <c r="K24" s="1"/>
      <c r="M24" s="1"/>
    </row>
    <row r="25" spans="1:21" ht="30.5" customHeight="1" thickBot="1" x14ac:dyDescent="0.4">
      <c r="A25" s="87"/>
      <c r="B25" s="83"/>
      <c r="C25" s="217" t="s">
        <v>2904</v>
      </c>
      <c r="E25" s="217" t="s">
        <v>2626</v>
      </c>
      <c r="F25" s="217" t="s">
        <v>2627</v>
      </c>
      <c r="G25" s="217" t="s">
        <v>2628</v>
      </c>
      <c r="H25" s="217" t="s">
        <v>2629</v>
      </c>
      <c r="I25" s="50"/>
      <c r="J25" s="217"/>
      <c r="K25" s="217" t="s">
        <v>2899</v>
      </c>
      <c r="L25" s="50"/>
      <c r="M25" s="218"/>
      <c r="N25" s="50"/>
      <c r="R25" s="50" t="s">
        <v>2895</v>
      </c>
      <c r="S25" s="50" t="s">
        <v>2896</v>
      </c>
      <c r="T25" s="50" t="s">
        <v>2897</v>
      </c>
      <c r="U25" s="50" t="s">
        <v>2898</v>
      </c>
    </row>
    <row r="26" spans="1:21" x14ac:dyDescent="0.35">
      <c r="A26" s="87"/>
      <c r="B26" s="83"/>
      <c r="C26" t="s">
        <v>2900</v>
      </c>
      <c r="E26" s="216">
        <f>BuildingBus!F732</f>
        <v>0.55000000000000004</v>
      </c>
      <c r="F26" s="48">
        <f>BuildingBus!F733</f>
        <v>121.26000000000002</v>
      </c>
      <c r="G26" s="220">
        <f>BuildingBus!F734</f>
        <v>0.37590600000000007</v>
      </c>
      <c r="H26" s="2" t="s">
        <v>2632</v>
      </c>
      <c r="K26" t="s">
        <v>2630</v>
      </c>
      <c r="M26" s="1"/>
      <c r="R26">
        <v>7</v>
      </c>
      <c r="S26">
        <v>26</v>
      </c>
    </row>
    <row r="27" spans="1:21" x14ac:dyDescent="0.35">
      <c r="A27" s="87"/>
      <c r="B27" s="83"/>
      <c r="C27" t="s">
        <v>2901</v>
      </c>
      <c r="E27" s="216">
        <f>BuildingBus!F786</f>
        <v>1.7300000000000002</v>
      </c>
      <c r="F27" s="48">
        <f>BuildingBus!F787</f>
        <v>133.80000000000001</v>
      </c>
      <c r="G27" s="220">
        <f>BuildingBus!F788</f>
        <v>0.41478000000000004</v>
      </c>
      <c r="H27" t="s">
        <v>2656</v>
      </c>
      <c r="K27" t="s">
        <v>2634</v>
      </c>
      <c r="M27" s="1"/>
      <c r="R27">
        <v>7</v>
      </c>
      <c r="S27">
        <v>56</v>
      </c>
    </row>
    <row r="28" spans="1:21" x14ac:dyDescent="0.35">
      <c r="A28" s="87"/>
      <c r="B28" s="83"/>
      <c r="C28" t="s">
        <v>2902</v>
      </c>
      <c r="E28" s="216">
        <f>BuildingBus!F890</f>
        <v>1.5100000000000002</v>
      </c>
      <c r="F28" s="219">
        <f>BuildingBus!F891</f>
        <v>234.32000000000005</v>
      </c>
      <c r="G28" s="221">
        <f>BuildingBus!F892</f>
        <v>0.72639200000000015</v>
      </c>
      <c r="H28" t="s">
        <v>2633</v>
      </c>
      <c r="K28" t="s">
        <v>2635</v>
      </c>
      <c r="M28" s="1"/>
      <c r="T28">
        <v>85</v>
      </c>
      <c r="U28">
        <v>265</v>
      </c>
    </row>
    <row r="29" spans="1:21" x14ac:dyDescent="0.35">
      <c r="A29" s="87"/>
      <c r="B29" s="83"/>
      <c r="C29" t="s">
        <v>2903</v>
      </c>
      <c r="E29" s="216">
        <f>BuildingBus!F1021</f>
        <v>1.4000000000000001</v>
      </c>
      <c r="F29" s="48">
        <f>BuildingBus!F1022</f>
        <v>313.72000000000003</v>
      </c>
      <c r="G29" s="220">
        <f>BuildingBus!F1023</f>
        <v>0.97253200000000006</v>
      </c>
      <c r="H29" t="s">
        <v>2636</v>
      </c>
      <c r="K29" t="s">
        <v>4415</v>
      </c>
      <c r="M29" s="1"/>
      <c r="R29">
        <v>5</v>
      </c>
      <c r="S29">
        <v>16</v>
      </c>
      <c r="T29">
        <v>85</v>
      </c>
      <c r="U29">
        <v>265</v>
      </c>
    </row>
    <row r="30" spans="1:21" x14ac:dyDescent="0.35">
      <c r="A30" s="87"/>
      <c r="B30" s="83"/>
      <c r="C30" t="s">
        <v>5188</v>
      </c>
      <c r="E30" s="216">
        <v>1.5</v>
      </c>
      <c r="F30" s="48"/>
      <c r="G30" s="220"/>
      <c r="H30" t="s">
        <v>5189</v>
      </c>
      <c r="K30" t="s">
        <v>5190</v>
      </c>
      <c r="M30" s="1"/>
      <c r="R30">
        <v>16</v>
      </c>
      <c r="S30">
        <v>54</v>
      </c>
      <c r="T30">
        <v>85</v>
      </c>
      <c r="U30">
        <v>265</v>
      </c>
    </row>
    <row r="31" spans="1:21" x14ac:dyDescent="0.35">
      <c r="A31" s="87"/>
      <c r="B31" s="83"/>
      <c r="E31" s="216"/>
      <c r="F31" s="48"/>
      <c r="G31" s="220"/>
      <c r="M31" s="1"/>
    </row>
    <row r="32" spans="1:21" x14ac:dyDescent="0.35">
      <c r="A32" s="87"/>
      <c r="B32" s="83"/>
      <c r="D32" t="s">
        <v>2637</v>
      </c>
      <c r="E32" s="216"/>
      <c r="F32" s="48"/>
      <c r="G32" s="220"/>
      <c r="M32" s="1"/>
    </row>
    <row r="33" spans="1:16" ht="29.5" thickBot="1" x14ac:dyDescent="0.4">
      <c r="A33" s="87"/>
      <c r="B33" s="83"/>
      <c r="D33" s="7"/>
      <c r="E33" s="223"/>
      <c r="F33" s="223"/>
      <c r="G33" s="224" t="s">
        <v>2076</v>
      </c>
      <c r="H33" s="223"/>
      <c r="I33" s="223"/>
      <c r="J33" s="223"/>
      <c r="K33" s="223"/>
      <c r="L33" s="223" t="s">
        <v>2629</v>
      </c>
      <c r="M33" s="225" t="s">
        <v>2669</v>
      </c>
      <c r="N33" s="224" t="s">
        <v>2670</v>
      </c>
      <c r="O33" s="224" t="s">
        <v>2671</v>
      </c>
    </row>
    <row r="34" spans="1:16" x14ac:dyDescent="0.35">
      <c r="A34" s="87"/>
      <c r="B34" s="83"/>
      <c r="D34" s="7"/>
      <c r="E34" s="7" t="str">
        <f>K26</f>
        <v>Drop input voltage across low drop out linear regulator (LDO)</v>
      </c>
      <c r="L34" t="str">
        <f>CONCATENATE(BuildingBus!H760," VDC")</f>
        <v>10 VDC</v>
      </c>
      <c r="M34" s="222">
        <f>BuildingBus!K760</f>
        <v>0.5</v>
      </c>
      <c r="N34" s="53">
        <f>BuildingBus!K761</f>
        <v>0.5</v>
      </c>
      <c r="O34" s="53">
        <f>BuildingBus!K762</f>
        <v>0.5</v>
      </c>
    </row>
    <row r="35" spans="1:16" x14ac:dyDescent="0.35">
      <c r="A35" s="87"/>
      <c r="B35" s="83"/>
      <c r="D35" s="7"/>
      <c r="E35" s="4"/>
      <c r="F35" s="4"/>
      <c r="G35" s="4"/>
      <c r="H35" s="4"/>
      <c r="I35" s="4"/>
      <c r="J35" s="4"/>
      <c r="K35" s="4"/>
      <c r="L35" s="4" t="str">
        <f>CONCATENATE(BuildingBus!N760," VDC")</f>
        <v>20 VDC</v>
      </c>
      <c r="M35" s="226">
        <f>BuildingBus!Q760</f>
        <v>0.25</v>
      </c>
      <c r="N35" s="227">
        <f>BuildingBus!Q761</f>
        <v>0.25</v>
      </c>
      <c r="O35" s="227">
        <f>BuildingBus!Q762</f>
        <v>0.25</v>
      </c>
    </row>
    <row r="36" spans="1:16" x14ac:dyDescent="0.35">
      <c r="A36" s="87"/>
      <c r="B36" s="83"/>
      <c r="D36" s="7"/>
      <c r="E36" s="7" t="str">
        <f>K27</f>
        <v>Efficient DC-to-DC buck converter (e.g. #MP4569)</v>
      </c>
      <c r="L36" t="str">
        <f>CONCATENATE(BuildingBus!H819," VDC")</f>
        <v>10 VDC</v>
      </c>
      <c r="M36" s="222">
        <f>BuildingBus!N819</f>
        <v>0.72486142755126337</v>
      </c>
      <c r="N36" s="53">
        <f>BuildingBus!N820</f>
        <v>0.7598351442487824</v>
      </c>
      <c r="O36" s="53">
        <f>BuildingBus!N821</f>
        <v>0.74479397430217098</v>
      </c>
    </row>
    <row r="37" spans="1:16" x14ac:dyDescent="0.35">
      <c r="A37" s="87"/>
      <c r="B37" s="83"/>
      <c r="D37" s="7"/>
      <c r="E37" s="4"/>
      <c r="F37" s="4"/>
      <c r="G37" s="4"/>
      <c r="H37" s="4"/>
      <c r="I37" s="4"/>
      <c r="J37" s="4"/>
      <c r="K37" s="4"/>
      <c r="L37" s="4" t="str">
        <f>CONCATENATE(BuildingBus!Q819," VDC")</f>
        <v>48 VDC</v>
      </c>
      <c r="M37" s="226">
        <f>BuildingBus!W819</f>
        <v>0.59977547467582115</v>
      </c>
      <c r="N37" s="227">
        <f>BuildingBus!W820</f>
        <v>0.69910271415036507</v>
      </c>
      <c r="O37" s="227">
        <f>BuildingBus!W821</f>
        <v>0.79642232160217774</v>
      </c>
    </row>
    <row r="38" spans="1:16" x14ac:dyDescent="0.35">
      <c r="A38" s="87"/>
      <c r="B38" s="83"/>
      <c r="D38" s="7"/>
      <c r="E38" s="7" t="str">
        <f>K28</f>
        <v>Efficient AC-to-DC buck converter (e.g. #VIPer011)</v>
      </c>
      <c r="L38" t="str">
        <f>CONCATENATE(BuildingBus!D917," VAC")</f>
        <v>110 VAC</v>
      </c>
      <c r="M38" s="222">
        <f>BuildingBus!F917</f>
        <v>0.24</v>
      </c>
      <c r="N38" s="53">
        <f>BuildingBus!F919</f>
        <v>0.71</v>
      </c>
      <c r="O38" s="53">
        <f>BuildingBus!F921</f>
        <v>0.73</v>
      </c>
    </row>
    <row r="39" spans="1:16" x14ac:dyDescent="0.35">
      <c r="A39" s="87"/>
      <c r="B39" s="83"/>
      <c r="D39" s="7"/>
      <c r="E39" s="4"/>
      <c r="F39" s="4"/>
      <c r="G39" s="4"/>
      <c r="H39" s="4"/>
      <c r="I39" s="4"/>
      <c r="J39" s="4"/>
      <c r="K39" s="4"/>
      <c r="L39" s="4" t="str">
        <f>CONCATENATE(BuildingBus!D918," VAC")</f>
        <v>265 VAC</v>
      </c>
      <c r="M39" s="226">
        <f>BuildingBus!F918</f>
        <v>0.16</v>
      </c>
      <c r="N39" s="227">
        <f>BuildingBus!F920</f>
        <v>0.63</v>
      </c>
      <c r="O39" s="227">
        <f>BuildingBus!F922</f>
        <v>0.63</v>
      </c>
    </row>
    <row r="40" spans="1:16" x14ac:dyDescent="0.35">
      <c r="A40" s="87"/>
      <c r="B40" s="83"/>
      <c r="D40" s="7"/>
      <c r="E40" s="7" t="str">
        <f>K29</f>
        <v>Custom IC only passes powerline voltage when it is &lt; X volts</v>
      </c>
      <c r="G40" s="1"/>
      <c r="L40" t="str">
        <f>CONCATENATE(BuildingBus!D917," VAC")</f>
        <v>110 VAC</v>
      </c>
      <c r="M40" s="222"/>
      <c r="O40" s="53">
        <f>BuildingBus!D1035</f>
        <v>0.37735436072741813</v>
      </c>
    </row>
    <row r="41" spans="1:16" x14ac:dyDescent="0.35">
      <c r="A41" s="87"/>
      <c r="B41" s="83"/>
      <c r="E41" s="228"/>
      <c r="F41" s="4"/>
      <c r="G41" s="4"/>
      <c r="H41" s="4"/>
      <c r="I41" s="4"/>
      <c r="J41" s="4"/>
      <c r="K41" s="4"/>
      <c r="L41" s="4" t="str">
        <f>CONCATENATE(BuildingBus!D918," VAC")</f>
        <v>265 VAC</v>
      </c>
      <c r="M41" s="226"/>
      <c r="N41" s="4"/>
      <c r="O41" s="227">
        <f>BuildingBus!E1035</f>
        <v>0.30260875061721076</v>
      </c>
    </row>
    <row r="42" spans="1:16" x14ac:dyDescent="0.35">
      <c r="A42" s="87"/>
      <c r="B42" s="83"/>
      <c r="E42" s="7" t="str">
        <f>K30</f>
        <v>Transistor only passes powerline voltage when it is &lt; X volts</v>
      </c>
      <c r="G42" s="1"/>
      <c r="L42" t="str">
        <f>CONCATENATE(BuildingBus!D919," VAC")</f>
        <v>110 VAC</v>
      </c>
      <c r="M42" s="222"/>
      <c r="O42" s="53">
        <v>0.75</v>
      </c>
    </row>
    <row r="43" spans="1:16" x14ac:dyDescent="0.35">
      <c r="A43" s="87"/>
      <c r="B43" s="83"/>
      <c r="E43" s="228"/>
      <c r="F43" s="4"/>
      <c r="G43" s="4"/>
      <c r="H43" s="4"/>
      <c r="I43" s="4"/>
      <c r="J43" s="4"/>
      <c r="K43" s="4"/>
      <c r="L43" s="4" t="str">
        <f>CONCATENATE(BuildingBus!D920," VAC")</f>
        <v>265 VAC</v>
      </c>
      <c r="M43" s="226"/>
      <c r="N43" s="4"/>
      <c r="O43" s="227"/>
    </row>
    <row r="44" spans="1:16" x14ac:dyDescent="0.35">
      <c r="A44" s="87"/>
      <c r="E44" s="2"/>
      <c r="K44" s="1"/>
      <c r="M44" s="1"/>
    </row>
    <row r="45" spans="1:16" x14ac:dyDescent="0.35">
      <c r="A45" s="87"/>
      <c r="B45" s="83" t="s">
        <v>4414</v>
      </c>
      <c r="D45" s="170"/>
      <c r="E45" t="s">
        <v>4413</v>
      </c>
      <c r="L45" s="1"/>
      <c r="N45" s="1"/>
      <c r="O45" s="73"/>
      <c r="P45" s="1" t="s">
        <v>4388</v>
      </c>
    </row>
    <row r="46" spans="1:16" x14ac:dyDescent="0.35">
      <c r="A46" s="87"/>
      <c r="B46" s="83"/>
      <c r="D46" s="170"/>
      <c r="L46" s="1"/>
      <c r="N46" s="1"/>
      <c r="O46" s="73"/>
      <c r="P46" s="1"/>
    </row>
    <row r="47" spans="1:16" s="5" customFormat="1" x14ac:dyDescent="0.35">
      <c r="A47" s="86" t="s">
        <v>2906</v>
      </c>
      <c r="B47" s="84"/>
    </row>
    <row r="49" spans="1:19" x14ac:dyDescent="0.35">
      <c r="B49" s="83" t="s">
        <v>2907</v>
      </c>
      <c r="E49" s="4" t="s">
        <v>2908</v>
      </c>
      <c r="F49" s="4"/>
      <c r="G49" s="4" t="s">
        <v>2909</v>
      </c>
      <c r="H49" s="4"/>
      <c r="I49" s="4"/>
      <c r="J49" s="4"/>
      <c r="K49" s="4"/>
      <c r="L49" s="4"/>
      <c r="M49" s="4"/>
      <c r="N49" s="4"/>
      <c r="O49" s="4"/>
      <c r="P49" s="4"/>
    </row>
    <row r="50" spans="1:19" x14ac:dyDescent="0.35">
      <c r="E50" t="s">
        <v>2910</v>
      </c>
      <c r="G50" s="149" t="str">
        <f>"..\..\..\Manhattan2\Research_Lab\Glenn_Weinreb\[GWeinreb_Manhattan2_ResearchNotes.xlsx]"</f>
        <v>..\..\..\Manhattan2\Research_Lab\Glenn_Weinreb\[GWeinreb_Manhattan2_ResearchNotes.xlsx]</v>
      </c>
    </row>
    <row r="51" spans="1:19" x14ac:dyDescent="0.35">
      <c r="E51" t="s">
        <v>2911</v>
      </c>
      <c r="G51" s="149" t="str">
        <f>"..\..\..\NTU\Kim_Lab\Catherine_Kim\[Catherine_Kim_NTU_ResearchNotes.xlsx]"</f>
        <v>..\..\..\NTU\Kim_Lab\Catherine_Kim\[Catherine_Kim_NTU_ResearchNotes.xlsx]</v>
      </c>
    </row>
    <row r="52" spans="1:19" x14ac:dyDescent="0.35">
      <c r="E52" t="s">
        <v>2912</v>
      </c>
      <c r="G52" s="149" t="str">
        <f>"..\..\..\CalPoly\Taufik_Lab\David_Chu\[DChu_CalPoly_ResearchNotes.xlsx]"</f>
        <v>..\..\..\CalPoly\Taufik_Lab\David_Chu\[DChu_CalPoly_ResearchNotes.xlsx]</v>
      </c>
    </row>
    <row r="54" spans="1:19" x14ac:dyDescent="0.35">
      <c r="B54" s="83" t="s">
        <v>2913</v>
      </c>
      <c r="E54" t="e">
        <f ca="1">INDIRECT("'" &amp; DChuFile &amp;   "Export'!TestCell123")</f>
        <v>#REF!</v>
      </c>
      <c r="G54" s="293" t="s">
        <v>2921</v>
      </c>
    </row>
    <row r="55" spans="1:19" x14ac:dyDescent="0.35">
      <c r="A55" t="s">
        <v>0</v>
      </c>
      <c r="E55" t="e">
        <f ca="1">INDIRECT("'..\..\..\CalPoly\Taufik_Lab\David_Chu\[DChu_CalPoly_ResearchNotes.xlsx]Export'!TestCell123")</f>
        <v>#REF!</v>
      </c>
      <c r="G55" s="293" t="s">
        <v>2921</v>
      </c>
    </row>
    <row r="57" spans="1:19" x14ac:dyDescent="0.35">
      <c r="B57" s="83" t="s">
        <v>712</v>
      </c>
      <c r="E57" s="293" t="s">
        <v>2918</v>
      </c>
      <c r="G57" s="293"/>
    </row>
    <row r="58" spans="1:19" x14ac:dyDescent="0.35">
      <c r="E58" t="s">
        <v>2922</v>
      </c>
      <c r="M58" s="1" t="s">
        <v>2923</v>
      </c>
    </row>
    <row r="59" spans="1:19" x14ac:dyDescent="0.35">
      <c r="E59" t="s">
        <v>2924</v>
      </c>
      <c r="M59" s="1" t="s">
        <v>2914</v>
      </c>
    </row>
    <row r="60" spans="1:19" x14ac:dyDescent="0.35">
      <c r="E60" t="s">
        <v>2925</v>
      </c>
      <c r="M60" s="1" t="s">
        <v>2915</v>
      </c>
      <c r="R60" t="s">
        <v>0</v>
      </c>
      <c r="S60" t="s">
        <v>2920</v>
      </c>
    </row>
    <row r="62" spans="1:19" x14ac:dyDescent="0.35">
      <c r="B62" s="83" t="s">
        <v>2916</v>
      </c>
      <c r="E62">
        <v>123</v>
      </c>
      <c r="G62" t="s">
        <v>2917</v>
      </c>
    </row>
    <row r="63" spans="1:19" x14ac:dyDescent="0.35">
      <c r="E63" t="s">
        <v>2919</v>
      </c>
      <c r="G63" t="str">
        <f>GWeinrebFile</f>
        <v>..\..\..\Manhattan2\Research_Lab\Glenn_Weinreb\[GWeinreb_Manhattan2_ResearchNotes.xlsx]</v>
      </c>
    </row>
    <row r="64" spans="1:19" x14ac:dyDescent="0.35">
      <c r="G64" t="str">
        <f>KKimFile</f>
        <v>..\..\..\NTU\Kim_Lab\Catherine_Kim\[Catherine_Kim_NTU_ResearchNotes.xlsx]</v>
      </c>
    </row>
  </sheetData>
  <hyperlinks>
    <hyperlink ref="M60" r:id="rId1"/>
    <hyperlink ref="M59" r:id="rId2"/>
    <hyperlink ref="M58" r:id="rId3"/>
    <hyperlink ref="P45" r:id="rId4" location="search?vinmin=100&amp;vinmax=265&amp;iout=0.09999999999999998&amp;vout=5&amp;intype=AC" display="http://www.ti.com/reference-designs/index.html - search?vinmin=100&amp;vinmax=265&amp;iout=0.09999999999999998&amp;vout=5&amp;intype=AC"/>
  </hyperlinks>
  <pageMargins left="0.7" right="0.7" top="0.75" bottom="0.75" header="0.3" footer="0.3"/>
  <pageSetup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D6:O32"/>
  <sheetViews>
    <sheetView workbookViewId="0">
      <selection activeCell="N11" sqref="N11"/>
    </sheetView>
  </sheetViews>
  <sheetFormatPr defaultRowHeight="14.5" x14ac:dyDescent="0.35"/>
  <sheetData>
    <row r="6" spans="4:14" x14ac:dyDescent="0.35">
      <c r="L6" s="149" t="s">
        <v>7424</v>
      </c>
      <c r="N6" t="s">
        <v>0</v>
      </c>
    </row>
    <row r="7" spans="4:14" x14ac:dyDescent="0.35">
      <c r="D7">
        <v>11</v>
      </c>
      <c r="E7" t="s">
        <v>39</v>
      </c>
      <c r="L7" s="149" t="s">
        <v>7425</v>
      </c>
    </row>
    <row r="8" spans="4:14" x14ac:dyDescent="0.35">
      <c r="D8">
        <v>300</v>
      </c>
      <c r="E8" t="s">
        <v>2747</v>
      </c>
    </row>
    <row r="9" spans="4:14" x14ac:dyDescent="0.35">
      <c r="D9">
        <v>100</v>
      </c>
      <c r="E9" t="s">
        <v>232</v>
      </c>
    </row>
    <row r="11" spans="4:14" x14ac:dyDescent="0.35">
      <c r="D11">
        <f>D9*0.000000000001 * D7/(D8*0.000000001)</f>
        <v>3.6666666666666666E-3</v>
      </c>
      <c r="E11" t="s">
        <v>35</v>
      </c>
      <c r="F11" t="s">
        <v>5584</v>
      </c>
    </row>
    <row r="13" spans="4:14" x14ac:dyDescent="0.35">
      <c r="D13" t="s">
        <v>5585</v>
      </c>
    </row>
    <row r="19" spans="4:15" x14ac:dyDescent="0.35">
      <c r="D19" t="s">
        <v>6312</v>
      </c>
    </row>
    <row r="20" spans="4:15" x14ac:dyDescent="0.35">
      <c r="N20" s="162">
        <v>10000</v>
      </c>
      <c r="O20" s="162">
        <v>1000</v>
      </c>
    </row>
    <row r="21" spans="4:15" x14ac:dyDescent="0.35">
      <c r="N21" s="22">
        <v>2.0000000000000001E-10</v>
      </c>
      <c r="O21" s="22">
        <v>2.0000000000000001E-10</v>
      </c>
    </row>
    <row r="22" spans="4:15" x14ac:dyDescent="0.35">
      <c r="N22" s="22">
        <f>N20*N21</f>
        <v>1.9999999999999999E-6</v>
      </c>
      <c r="O22" s="22">
        <f>O20*O21</f>
        <v>2.0000000000000002E-7</v>
      </c>
    </row>
    <row r="32" spans="4:15" x14ac:dyDescent="0.35">
      <c r="D32" t="s">
        <v>6313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13</vt:i4>
      </vt:variant>
    </vt:vector>
  </HeadingPairs>
  <TitlesOfParts>
    <vt:vector size="20" baseType="lpstr">
      <vt:lpstr>SolarRoof</vt:lpstr>
      <vt:lpstr>GroundSource</vt:lpstr>
      <vt:lpstr>BuildingBus</vt:lpstr>
      <vt:lpstr>Research</vt:lpstr>
      <vt:lpstr>ZE House</vt:lpstr>
      <vt:lpstr>Export</vt:lpstr>
      <vt:lpstr>etc</vt:lpstr>
      <vt:lpstr>'ZE House'!_MailAutoSig</vt:lpstr>
      <vt:lpstr>DChuFile</vt:lpstr>
      <vt:lpstr>GWeinrebFile</vt:lpstr>
      <vt:lpstr>KKimFile</vt:lpstr>
      <vt:lpstr>PSAC_cost_usd</vt:lpstr>
      <vt:lpstr>PSFL_cost_usd</vt:lpstr>
      <vt:lpstr>PSHV_cost_usd</vt:lpstr>
      <vt:lpstr>PSHV_VDC_max</vt:lpstr>
      <vt:lpstr>PSHV_VDC_min</vt:lpstr>
      <vt:lpstr>PSLV_cost_usd</vt:lpstr>
      <vt:lpstr>PSLV_VDC_max</vt:lpstr>
      <vt:lpstr>PSLV_VDC_min</vt:lpstr>
      <vt:lpstr>TestCell123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2020-11-29T22:20:00Z</dcterms:modified>
</cp:coreProperties>
</file>